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KO\Kodanikuühiskond\3. Kodanikuühiskonna Sihtkapital\EELARVE\2025\Käskkiri\"/>
    </mc:Choice>
  </mc:AlternateContent>
  <xr:revisionPtr revIDLastSave="0" documentId="13_ncr:1_{B4545086-1854-441F-B15D-1FC6523F7044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suur tabel" sheetId="1" state="hidden" r:id="rId1"/>
    <sheet name="2025-2027" sheetId="4" r:id="rId2"/>
    <sheet name="halduskulud detailid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E73" i="1"/>
  <c r="F73" i="1"/>
  <c r="G73" i="1"/>
  <c r="C73" i="1"/>
  <c r="H66" i="1"/>
  <c r="H73" i="1" s="1"/>
  <c r="C72" i="1"/>
  <c r="C25" i="1"/>
  <c r="B5" i="4" l="1"/>
  <c r="C23" i="1"/>
  <c r="D16" i="2"/>
  <c r="D18" i="2" s="1"/>
  <c r="C11" i="2"/>
  <c r="D63" i="1" l="1"/>
  <c r="E63" i="1"/>
  <c r="E62" i="1"/>
  <c r="D62" i="1"/>
  <c r="C63" i="1"/>
  <c r="C62" i="1"/>
  <c r="E61" i="1" l="1"/>
  <c r="D61" i="1"/>
  <c r="C61" i="1"/>
  <c r="B9" i="4" l="1"/>
  <c r="D5" i="4" l="1"/>
  <c r="D20" i="4" s="1"/>
  <c r="C9" i="4"/>
  <c r="C6" i="4"/>
  <c r="B17" i="4"/>
  <c r="E17" i="4" s="1"/>
  <c r="B10" i="4"/>
  <c r="E10" i="4" s="1"/>
  <c r="E19" i="4"/>
  <c r="E18" i="4"/>
  <c r="E16" i="4"/>
  <c r="E15" i="4"/>
  <c r="E14" i="4"/>
  <c r="E12" i="4"/>
  <c r="E11" i="4"/>
  <c r="E8" i="4"/>
  <c r="E7" i="4"/>
  <c r="B40" i="1"/>
  <c r="B6" i="1"/>
  <c r="E9" i="4" l="1"/>
  <c r="C16" i="2"/>
  <c r="C18" i="2" s="1"/>
  <c r="G62" i="1" l="1"/>
  <c r="F62" i="1"/>
  <c r="E14" i="1"/>
  <c r="G14" i="1"/>
  <c r="F14" i="1"/>
  <c r="H19" i="1"/>
  <c r="H20" i="1"/>
  <c r="H21" i="1"/>
  <c r="B14" i="1"/>
  <c r="H50" i="1" l="1"/>
  <c r="D40" i="1" l="1"/>
  <c r="C40" i="1"/>
  <c r="D49" i="1"/>
  <c r="D48" i="1" s="1"/>
  <c r="D47" i="1" s="1"/>
  <c r="E49" i="1"/>
  <c r="E48" i="1" s="1"/>
  <c r="E47" i="1" s="1"/>
  <c r="F49" i="1"/>
  <c r="F48" i="1" s="1"/>
  <c r="G49" i="1"/>
  <c r="G48" i="1" s="1"/>
  <c r="C49" i="1"/>
  <c r="H78" i="1"/>
  <c r="C48" i="1" l="1"/>
  <c r="C47" i="1" s="1"/>
  <c r="H49" i="1"/>
  <c r="H48" i="1" s="1"/>
  <c r="F77" i="1"/>
  <c r="F79" i="1" s="1"/>
  <c r="G77" i="1"/>
  <c r="G79" i="1" s="1"/>
  <c r="E77" i="1"/>
  <c r="E79" i="1" s="1"/>
  <c r="D77" i="1"/>
  <c r="D79" i="1" s="1"/>
  <c r="C77" i="1"/>
  <c r="C79" i="1" s="1"/>
  <c r="D72" i="1"/>
  <c r="E72" i="1"/>
  <c r="F72" i="1"/>
  <c r="G72" i="1"/>
  <c r="C33" i="1"/>
  <c r="B13" i="4" l="1"/>
  <c r="B26" i="4" s="1"/>
  <c r="B28" i="4" s="1"/>
  <c r="H79" i="1"/>
  <c r="H77" i="1"/>
  <c r="E13" i="4" l="1"/>
  <c r="H52" i="1"/>
  <c r="H9" i="1" l="1"/>
  <c r="C53" i="1"/>
  <c r="D53" i="1" l="1"/>
  <c r="H62" i="1"/>
  <c r="G61" i="1" l="1"/>
  <c r="G47" i="1" s="1"/>
  <c r="F61" i="1"/>
  <c r="F47" i="1" s="1"/>
  <c r="E53" i="1"/>
  <c r="F53" i="1"/>
  <c r="G53" i="1"/>
  <c r="H54" i="1"/>
  <c r="H51" i="1"/>
  <c r="H15" i="1"/>
  <c r="H18" i="1"/>
  <c r="C5" i="4"/>
  <c r="C16" i="1"/>
  <c r="B6" i="4" s="1"/>
  <c r="H5" i="1"/>
  <c r="H24" i="1"/>
  <c r="H26" i="1"/>
  <c r="H27" i="1"/>
  <c r="G6" i="1"/>
  <c r="H28" i="1"/>
  <c r="H29" i="1"/>
  <c r="H30" i="1"/>
  <c r="H31" i="1"/>
  <c r="G25" i="1"/>
  <c r="G23" i="1" s="1"/>
  <c r="F25" i="1"/>
  <c r="F23" i="1" s="1"/>
  <c r="E25" i="1"/>
  <c r="E23" i="1" s="1"/>
  <c r="D25" i="1"/>
  <c r="D23" i="1" s="1"/>
  <c r="H59" i="1"/>
  <c r="H72" i="1" s="1"/>
  <c r="G40" i="1"/>
  <c r="F40" i="1"/>
  <c r="E40" i="1"/>
  <c r="C32" i="1"/>
  <c r="G33" i="1"/>
  <c r="F33" i="1"/>
  <c r="E33" i="1"/>
  <c r="D33" i="1"/>
  <c r="F6" i="1"/>
  <c r="E6" i="1"/>
  <c r="D6" i="1"/>
  <c r="C6" i="1"/>
  <c r="H11" i="1"/>
  <c r="H12" i="1"/>
  <c r="H13" i="1"/>
  <c r="H34" i="1"/>
  <c r="H35" i="1"/>
  <c r="H36" i="1"/>
  <c r="H37" i="1"/>
  <c r="H38" i="1"/>
  <c r="H39" i="1"/>
  <c r="H41" i="1"/>
  <c r="H42" i="1"/>
  <c r="H43" i="1"/>
  <c r="H44" i="1"/>
  <c r="H45" i="1"/>
  <c r="H46" i="1"/>
  <c r="H55" i="1"/>
  <c r="H56" i="1"/>
  <c r="H57" i="1"/>
  <c r="H58" i="1"/>
  <c r="H7" i="1"/>
  <c r="H8" i="1"/>
  <c r="H10" i="1"/>
  <c r="H17" i="1" l="1"/>
  <c r="C14" i="1"/>
  <c r="C4" i="1" s="1"/>
  <c r="D32" i="1"/>
  <c r="F63" i="1"/>
  <c r="G63" i="1"/>
  <c r="H61" i="1"/>
  <c r="H63" i="1" s="1"/>
  <c r="H53" i="1"/>
  <c r="D14" i="1"/>
  <c r="H16" i="1"/>
  <c r="E4" i="1"/>
  <c r="H23" i="1"/>
  <c r="G4" i="1"/>
  <c r="F4" i="1"/>
  <c r="H25" i="1"/>
  <c r="E32" i="1"/>
  <c r="G32" i="1"/>
  <c r="F32" i="1"/>
  <c r="H40" i="1"/>
  <c r="H33" i="1"/>
  <c r="H6" i="1"/>
  <c r="H47" i="1" l="1"/>
  <c r="C71" i="1"/>
  <c r="C80" i="1" s="1"/>
  <c r="C82" i="1" s="1"/>
  <c r="B20" i="4"/>
  <c r="B22" i="4" s="1"/>
  <c r="B25" i="4"/>
  <c r="C65" i="1"/>
  <c r="J65" i="1" s="1"/>
  <c r="C20" i="4"/>
  <c r="E5" i="4"/>
  <c r="H14" i="1"/>
  <c r="E6" i="4"/>
  <c r="F71" i="1"/>
  <c r="F80" i="1" s="1"/>
  <c r="E71" i="1"/>
  <c r="E80" i="1" s="1"/>
  <c r="G71" i="1"/>
  <c r="G80" i="1" s="1"/>
  <c r="D4" i="1"/>
  <c r="D71" i="1" s="1"/>
  <c r="D74" i="1" s="1"/>
  <c r="E65" i="1"/>
  <c r="G65" i="1"/>
  <c r="F65" i="1"/>
  <c r="H32" i="1"/>
  <c r="C74" i="1" l="1"/>
  <c r="C75" i="1" s="1"/>
  <c r="E20" i="4"/>
  <c r="G74" i="1"/>
  <c r="G75" i="1" s="1"/>
  <c r="F74" i="1"/>
  <c r="F75" i="1" s="1"/>
  <c r="E74" i="1"/>
  <c r="E75" i="1" s="1"/>
  <c r="D65" i="1"/>
  <c r="H65" i="1" s="1"/>
  <c r="D80" i="1"/>
  <c r="H80" i="1" s="1"/>
  <c r="H4" i="1"/>
  <c r="H71" i="1" s="1"/>
  <c r="H74" i="1" l="1"/>
  <c r="H75" i="1" s="1"/>
  <c r="D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tc={3612AEB9-BAC4-448B-9FB3-89632148E464}</author>
    <author>tc={AB20513C-F27B-499A-BA5B-0586CB74607F}</author>
    <author>Raili Uibopuu</author>
    <author>tc={3AF3C150-E94C-49B7-A1F3-51271EF4D61F}</author>
    <author>Maia Podhodjaštševa</author>
  </authors>
  <commentList>
    <comment ref="C9" authorId="0" shapeId="0" xr:uid="{3612AEB9-BAC4-448B-9FB3-89632148E464}">
      <text>
        <t>[Threaded comment]
Your version of Excel allows you to read this threaded comment; however, any edits to it will get removed if the file is opened in a newer version of Excel. Learn more: https://go.microsoft.com/fwlink/?linkid=870924
Comment:
    80% taotletud toetusest</t>
      </text>
    </comment>
    <comment ref="D10" authorId="1" shapeId="0" xr:uid="{AB20513C-F27B-499A-BA5B-0586CB74607F}">
      <text>
        <t>[Threaded comment]
Your version of Excel allows you to read this threaded comment; however, any edits to it will get removed if the file is opened in a newer version of Excel. Learn more: https://go.microsoft.com/fwlink/?linkid=870924
Comment:
    80% taotletud toetusest</t>
      </text>
    </comment>
    <comment ref="G21" authorId="2" shapeId="0" xr:uid="{BB610F81-756A-4C7B-92D7-2DCDC82F191C}">
      <text>
        <r>
          <rPr>
            <b/>
            <sz val="9"/>
            <color indexed="81"/>
            <rFont val="Tahoma"/>
            <family val="2"/>
          </rPr>
          <t>Raili Uibopuu:</t>
        </r>
        <r>
          <rPr>
            <sz val="9"/>
            <color indexed="81"/>
            <rFont val="Tahoma"/>
            <family val="2"/>
          </rPr>
          <t xml:space="preserve">
lisaks 39600 eurot jääb 2030 aasta väljamakseteks
</t>
        </r>
      </text>
    </comment>
    <comment ref="A41" authorId="3" shapeId="0" xr:uid="{3AF3C150-E94C-49B7-A1F3-51271EF4D61F}">
      <text>
        <t>[Threaded comment]
Your version of Excel allows you to read this threaded comment; however, any edits to it will get removed if the file is opened in a newer version of Excel. Learn more: https://go.microsoft.com/fwlink/?linkid=870924
Comment:
    taotlusi ei tulnud kogu eelarve mahus, tuli 979 266,75 eurot</t>
      </text>
    </comment>
    <comment ref="C42" authorId="2" shapeId="0" xr:uid="{22D13A33-AA3D-461D-ABB6-156F2DF8F66F}">
      <text>
        <r>
          <rPr>
            <b/>
            <sz val="9"/>
            <color indexed="81"/>
            <rFont val="Tahoma"/>
            <family val="2"/>
          </rPr>
          <t>Raili Uibopuu:</t>
        </r>
        <r>
          <rPr>
            <sz val="9"/>
            <color indexed="81"/>
            <rFont val="Tahoma"/>
            <family val="2"/>
          </rPr>
          <t xml:space="preserve">
Kui 2025 aasta I pooles voor siis tuleb 777821.-kogu summa 2025 aastasse</t>
        </r>
      </text>
    </comment>
    <comment ref="C77" authorId="2" shapeId="0" xr:uid="{03CE8280-208E-4584-8B95-7B8437B9AB64}">
      <text>
        <r>
          <rPr>
            <b/>
            <sz val="9"/>
            <color indexed="81"/>
            <rFont val="Tahoma"/>
            <family val="2"/>
          </rPr>
          <t>Raili Uibopuu:</t>
        </r>
        <r>
          <rPr>
            <sz val="9"/>
            <color indexed="81"/>
            <rFont val="Tahoma"/>
            <family val="2"/>
          </rPr>
          <t xml:space="preserve">
Vist riigieelarvelise täitmise aruandest EA000</t>
        </r>
      </text>
    </comment>
    <comment ref="C81" authorId="4" shapeId="0" xr:uid="{002D9B2B-307C-48BD-AEA2-E6EE7C1B9818}">
      <text>
        <r>
          <rPr>
            <b/>
            <sz val="9"/>
            <color indexed="81"/>
            <rFont val="Tahoma"/>
            <family val="2"/>
            <charset val="186"/>
          </rPr>
          <t>Maia Podhodjaštševa:</t>
        </r>
        <r>
          <rPr>
            <sz val="9"/>
            <color indexed="81"/>
            <rFont val="Tahoma"/>
            <family val="2"/>
            <charset val="186"/>
          </rPr>
          <t xml:space="preserve">
hetkel ettemakse kontol on 1,3 mln. Pärast 2024.a teise poolaasta aruande esitamist selgub täpne 2024st ülekantav summa. See on vaba eelarve, tuleb leida kastust.</t>
        </r>
      </text>
    </comment>
  </commentList>
</comments>
</file>

<file path=xl/sharedStrings.xml><?xml version="1.0" encoding="utf-8"?>
<sst xmlns="http://schemas.openxmlformats.org/spreadsheetml/2006/main" count="122" uniqueCount="118">
  <si>
    <r>
      <rPr>
        <b/>
        <sz val="11"/>
        <rFont val="Calibri"/>
        <family val="2"/>
      </rPr>
      <t>Lisa 2</t>
    </r>
  </si>
  <si>
    <r>
      <rPr>
        <b/>
        <sz val="11"/>
        <rFont val="Calibri"/>
        <family val="2"/>
      </rPr>
      <t>TEKKEPÕHINE PLAAN</t>
    </r>
  </si>
  <si>
    <r>
      <rPr>
        <b/>
        <sz val="11"/>
        <rFont val="Calibri"/>
        <family val="2"/>
      </rPr>
      <t>Sihtasutuse Kodanikuühiskonna Sihtkapital pikaajaline finantsplaan aastateks 2025–2029</t>
    </r>
  </si>
  <si>
    <r>
      <rPr>
        <b/>
        <sz val="11"/>
        <rFont val="Calibri"/>
        <family val="2"/>
      </rPr>
      <t>KOKKU</t>
    </r>
  </si>
  <si>
    <t>Alates 2024.a jaguneb toetuste väljamaksmine 80% pärast käskkirja ja 20% pärast lõpparuande kinnitamist lõpparuande alusel. AH24 projektid lõpevad juuni 2025 ja dets 2025, seega jagunevad ka lõppmaksed vastavalt kahe aasta peale.</t>
  </si>
  <si>
    <t>Reisitoetused</t>
  </si>
  <si>
    <t>Välisprojektid ja rahvusvaheliste katusorganisatsioonide suursündmused</t>
  </si>
  <si>
    <t>Välisprojektid kokku</t>
  </si>
  <si>
    <t>Rahvusvahelise suuna konkursid kokku</t>
  </si>
  <si>
    <t>NULA inkubaatori läbiviimine ja starditoetus kokku</t>
  </si>
  <si>
    <t>informatiivne</t>
  </si>
  <si>
    <t>1. Vabaühenduste ühiskondliku mõju suurendamine</t>
  </si>
  <si>
    <t>Arenguhüppe ettevalmistav taotlusvoor</t>
  </si>
  <si>
    <t>Arenguhüppe taotlusvoor kokku</t>
  </si>
  <si>
    <t>Kogukonna eestvedaja stipendium</t>
  </si>
  <si>
    <t>3. Kodanikuühiskonna arendamine ja innovatsioon</t>
  </si>
  <si>
    <t>MAK lepingud</t>
  </si>
  <si>
    <t>Maakondade tunnustusüritused</t>
  </si>
  <si>
    <t>CERV</t>
  </si>
  <si>
    <t>Šveits-Eesti</t>
  </si>
  <si>
    <t>ESF - SIM</t>
  </si>
  <si>
    <t>ESF - KuM</t>
  </si>
  <si>
    <t>SIKK2</t>
  </si>
  <si>
    <t>Halduskulud</t>
  </si>
  <si>
    <t>RTK finantsarvestuse teenus</t>
  </si>
  <si>
    <t xml:space="preserve"> Kogukonnaühiskonna innovatsioonifond</t>
  </si>
  <si>
    <t xml:space="preserve">                 sh palgakulu (sh nõukogu ja hindajad)</t>
  </si>
  <si>
    <t xml:space="preserve">SIM eelarvest </t>
  </si>
  <si>
    <t>RTK</t>
  </si>
  <si>
    <t>kokku</t>
  </si>
  <si>
    <t>vahe</t>
  </si>
  <si>
    <t xml:space="preserve">SIM KÜSK eelarve olemas </t>
  </si>
  <si>
    <t>SIM INNO projekti eelarve  olemas</t>
  </si>
  <si>
    <t>SIM kokku</t>
  </si>
  <si>
    <t>Kas katame ülekantavatest. Kas püüame SIMis ea pikajalist vaadet korda saada? - Sellest Mairga ja Martiniga rääkida</t>
  </si>
  <si>
    <t>vahe SIM  olemasolev EA vs KÜSKi plaan</t>
  </si>
  <si>
    <t>Maia arvestused:</t>
  </si>
  <si>
    <t>Maia Martin räägime läbi, SIM EA olemasolu</t>
  </si>
  <si>
    <t>Lisandub ka 2024.a eelarvejääk</t>
  </si>
  <si>
    <t>See on vaba eelarve, tuleb leida kastust.</t>
  </si>
  <si>
    <t>Kasutada oleks veel</t>
  </si>
  <si>
    <t xml:space="preserve">sh KÜSKi poolt korraldatavad algatused   </t>
  </si>
  <si>
    <t>sh palgafond</t>
  </si>
  <si>
    <t>sh Halduskulud</t>
  </si>
  <si>
    <t>SIIA JÄÄB SIKK2____SIM CERV</t>
  </si>
  <si>
    <t>ok</t>
  </si>
  <si>
    <t>majandamiskulu</t>
  </si>
  <si>
    <t>Vähendamine 2026 a 3% ja 2027 a 2% pole kinnitatud millistest meetmetest ja seega pole maha arvestatud</t>
  </si>
  <si>
    <t>Koolituskulud (sh koolituslähetus)</t>
  </si>
  <si>
    <t>Kinnistute, hoonete ja ruumide majandami</t>
  </si>
  <si>
    <t>Sõidukite majandamiskulud</t>
  </si>
  <si>
    <t>Info- ja kommunikatsioonitehnoloogia kul</t>
  </si>
  <si>
    <t>Inventari majandamiskulud</t>
  </si>
  <si>
    <t>Meditsiinikulud ja hügieenikulud</t>
  </si>
  <si>
    <t>Kommunikatsiooni-, kultuuri- ja vaba aja</t>
  </si>
  <si>
    <t>Mitmesugused majanduskulud</t>
  </si>
  <si>
    <t>Erisoodustused</t>
  </si>
  <si>
    <t>Lähetuskulud (v.a koolituslähetus) (sh nõukogu bussi või rongipiletid)</t>
  </si>
  <si>
    <t>5500</t>
  </si>
  <si>
    <t>5503</t>
  </si>
  <si>
    <t>5504</t>
  </si>
  <si>
    <t>5511</t>
  </si>
  <si>
    <t>5513</t>
  </si>
  <si>
    <t>5514</t>
  </si>
  <si>
    <t>5515</t>
  </si>
  <si>
    <t>5522</t>
  </si>
  <si>
    <t>5525</t>
  </si>
  <si>
    <t>5540</t>
  </si>
  <si>
    <t>tervisekontroll, töötervishoiu kulu, prillid</t>
  </si>
  <si>
    <t>tervise edendamise kulu</t>
  </si>
  <si>
    <t>büroo rent ja kommunaalkulud</t>
  </si>
  <si>
    <t>töötajad (va välisprojektide töötajad), juhatus, nõukogu, hindajate kogu</t>
  </si>
  <si>
    <t>Töötasufond</t>
  </si>
  <si>
    <t xml:space="preserve">Administreerimiskulud </t>
  </si>
  <si>
    <t>töötajate lähetused, sh nõukogu bussi või rongipiletid</t>
  </si>
  <si>
    <t>isiklike sõiduautode kasutused: töötajad, nõukogu, hindajad</t>
  </si>
  <si>
    <t>Kokku halduskulu</t>
  </si>
  <si>
    <t>2025 a halduskulu kontogruppide viisi</t>
  </si>
  <si>
    <t>Kokku majandamiskulu</t>
  </si>
  <si>
    <t>2024 (informatiivne, pole valemis)</t>
  </si>
  <si>
    <r>
      <t>2</t>
    </r>
    <r>
      <rPr>
        <b/>
        <sz val="12"/>
        <rFont val="Calibri"/>
        <family val="2"/>
        <scheme val="minor"/>
      </rPr>
      <t>. Võimekad ja hoolivad kogukonnad</t>
    </r>
  </si>
  <si>
    <t>Lisa 2</t>
  </si>
  <si>
    <t>TEKKEPÕHINE PLAAN</t>
  </si>
  <si>
    <t>1. Vabaühenduste ühiskondliku mõju suurendamine 2025</t>
  </si>
  <si>
    <t>1. Vabaühenduste ühiskondliku mõju suurendamine 2023-2024</t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</si>
  <si>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vabaühenduste ja sotsiaalsete ettevõtete võimekuse kasv                     
- Eestis tegutsevate vabaühenduste laialdasem rahvusvaheline koostöö    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</si>
  <si>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toetuste jagunemine erinevate valdkondade, piirkondlike ja üle-eestiliste, eesti - ja muukeelsete ühingute vahel; kodanikuühiskonna horisontaalsete teemade osas                                                                   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</si>
  <si>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t>2. Võimekad ja hoolivad kogukonnad 2025</t>
  </si>
  <si>
    <t>2. Võimekad ja hoolivad kogukonnad 2023-2024</t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</si>
  <si>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Kogukondade ja KOV-ide tõusnud teadlikkus kohaliku tasandi ja kogukondade koostöövõimalustest 
- KOV tasandil on kogukonnad kaasatud kohaliku elukeskkonna kujundamisse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</si>
  <si>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rFont val="Times New Roman"/>
        <family val="1"/>
        <charset val="186"/>
      </rPr>
      <t xml:space="preserve">
</t>
    </r>
    <r>
      <rPr>
        <sz val="11"/>
        <rFont val="Times New Roman"/>
        <family val="1"/>
        <charset val="186"/>
      </rPr>
      <t xml:space="preserve">- suureneb KOVde osakaal, kes kasutavad KÜSKi abi (MAKide vabaühenduste konsultandid) kogukondliku koostöö edendamisel </t>
    </r>
  </si>
  <si>
    <t>3. Kodanikuühiskonna arendamine ja innovatsioon 2025</t>
  </si>
  <si>
    <t>3. Kodanikuühiskonna arendamine ja innovatsioon 2023-2024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</si>
  <si>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</si>
  <si>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klientide rahulolu nõustamisteenusega
- vabaühenduste laiem koostöö teiste asutuste ja organisatsioonidega                                            
- tugitegevused on aidanud parandada organisatsioonide võimekust (paranenud on eestvedajate isiklikud pädevused)</t>
    </r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</si>
  <si>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Eesti elanike kasvanud teadlikkus kodanikuühiskonnast                                                                 - KÜSKi toetuse ja nõustamise tulemusena suureneb inimeste kaasatus kogukondlikesse ettevõtmistesse ja kohaliku elu edendamise algatustesse                                                                  - kontaktpunktina tegutsemine tõstab KÜSKi teadmisi rahvusvahelistest fondidest, kompetentsi koordineerimisest ja nähtavust rahvusvaheliselt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</si>
  <si>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lai ja kasvav kommunikatsioonitegevus                                                                          -	 KÜSKi tegevussuundade läbiviimisel kasutatakse ja arendatakse koostööd vabaühenduste ja teiste asutustega                                                                                                                                         </t>
    </r>
  </si>
  <si>
    <t>KOKKU EELARVE</t>
  </si>
  <si>
    <t>lisatud KÜSK halduskulu töötajate ühe kuu palgafondile 20%</t>
  </si>
  <si>
    <t>lisatud teisel lehel ja lisaks lisatud 21000 : jurist 10000.-, töötajatele koolituskulu 2000.-, kommunikatsioonikuluna kodulehe arendamiseks (mtü.abi.) 3000.-, KÜSK töötajate motivatsioonibakett 6000.-</t>
  </si>
  <si>
    <t>Kokku koos RTK finantsarvestuse teenusega</t>
  </si>
  <si>
    <t xml:space="preserve">20% KÜSK halduskulu töötajate ühe kuu palgast </t>
  </si>
  <si>
    <t>+töötasufondile</t>
  </si>
  <si>
    <t>arvutite liisingud, serveri majutus, Zoom, Delta, arvutite kaugtugi, filejump (mahukate failide jaoks) ja lisatud 3000 mtü.abi.ee platvormi kulu</t>
  </si>
  <si>
    <t>jurist 10000.-, töötajatele koolituskulu 2000.-, kommunikatsioonikuluna kodulehe arendamiseks (mtü.abi.) 3000.-, KÜSK töötajate motivatsioonibakett 6000.-</t>
  </si>
  <si>
    <t>lisavajadus</t>
  </si>
  <si>
    <t>kontoritarbed: paber, markerid, dokumenditaskud, printeri tahm, märkmikkalendrid,
 mobiilsideteenused, kullerteenused, oma töötajate toitlustuskulu sündmuse
 korraldamisel, kohvipausiks nõukogul, meened, kingitused, auhinnad,
audiitorteenus, meediamonitooring, töötajate otsinguportaalide kulu,  FB-s reklaam, Stebby teenustasu. Lisatud juristi teenus 10000.-</t>
  </si>
  <si>
    <t xml:space="preserve">dokumendihaldus, IT, riigihanked, koordinaatoritele vajalikud koolitused. Lisatud 2000 eurot </t>
  </si>
  <si>
    <t>töötajate motivatsioonitegevused (meeskonnasündmused, sh tervistavad tegevused)</t>
  </si>
  <si>
    <t>Varasemate aastate kohustused 2025 aastal</t>
  </si>
  <si>
    <t>kodanikuühiskonna suursündmuste toetamine</t>
  </si>
  <si>
    <t xml:space="preserve"> sh SIM kaasfinantseering CERV kontaktpunkti tegevused</t>
  </si>
  <si>
    <t>sh SIM kaasfinantseering SIKK2</t>
  </si>
  <si>
    <t>SIM tekkepõhine jääk seisuga 31.12.2024</t>
  </si>
  <si>
    <t>2025 a RTK Finantsarvestuse teenus</t>
  </si>
  <si>
    <t>2025 a eelarvest tekkepõhine kulu (eelarvetaotluses taotletav)</t>
  </si>
  <si>
    <t>KOKKU EELARVE, ilma RTK
finantsarvestuse teenus</t>
  </si>
  <si>
    <t>Sihtasutuse Kodanikuühiskonna Sihtkapital pikaajaline finantsplaan aastateks 2025–2027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</si>
</sst>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0;###0"/>
    <numFmt numFmtId="165" formatCode="_-* #,##0.00\ _€_-;\-* #,##0.00\ _€_-;_-* &quot;-&quot;??\ _€_-;_-@_-"/>
  </numFmts>
  <fonts count="46">
    <font>
      <sz val="10"/>
      <color rgb="FF000000"/>
      <name val="Times New Roman"/>
      <charset val="204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Inherit"/>
      <charset val="1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FF0000"/>
      <name val="Calibri"/>
      <family val="2"/>
      <scheme val="minor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10"/>
      <name val="Calibri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1"/>
      <name val="Times New Roman"/>
      <family val="1"/>
    </font>
    <font>
      <sz val="11"/>
      <color theme="0" tint="-0.34998626667073579"/>
      <name val="Times New Roman"/>
      <family val="1"/>
    </font>
    <font>
      <i/>
      <sz val="11"/>
      <name val="Times New Roman"/>
      <family val="1"/>
    </font>
    <font>
      <sz val="11"/>
      <color rgb="FFC00000"/>
      <name val="Times New Roman"/>
      <family val="1"/>
    </font>
    <font>
      <sz val="10"/>
      <name val="Times New Roman"/>
      <family val="1"/>
    </font>
    <font>
      <sz val="11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DE9D9"/>
      </patternFill>
    </fill>
    <fill>
      <patternFill patternType="solid">
        <fgColor rgb="FFD9D9D9"/>
      </patternFill>
    </fill>
    <fill>
      <patternFill patternType="solid">
        <fgColor rgb="FFC5D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15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4" fontId="12" fillId="3" borderId="2" xfId="0" applyNumberFormat="1" applyFont="1" applyFill="1" applyBorder="1" applyAlignment="1">
      <alignment horizontal="right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4" fontId="8" fillId="4" borderId="2" xfId="0" applyNumberFormat="1" applyFont="1" applyFill="1" applyBorder="1" applyAlignment="1">
      <alignment horizontal="right" vertical="top" wrapText="1"/>
    </xf>
    <xf numFmtId="4" fontId="12" fillId="4" borderId="3" xfId="0" applyNumberFormat="1" applyFont="1" applyFill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9" fontId="11" fillId="0" borderId="0" xfId="0" applyNumberFormat="1" applyFont="1" applyAlignment="1">
      <alignment horizontal="center" vertical="top"/>
    </xf>
    <xf numFmtId="4" fontId="12" fillId="6" borderId="2" xfId="0" applyNumberFormat="1" applyFont="1" applyFill="1" applyBorder="1" applyAlignment="1">
      <alignment horizontal="right" vertical="top" wrapText="1"/>
    </xf>
    <xf numFmtId="4" fontId="11" fillId="6" borderId="2" xfId="0" applyNumberFormat="1" applyFont="1" applyFill="1" applyBorder="1" applyAlignment="1">
      <alignment horizontal="right" vertical="top" wrapText="1"/>
    </xf>
    <xf numFmtId="0" fontId="13" fillId="3" borderId="2" xfId="0" applyFont="1" applyFill="1" applyBorder="1" applyAlignment="1">
      <alignment horizontal="left" vertical="top" wrapText="1"/>
    </xf>
    <xf numFmtId="0" fontId="0" fillId="6" borderId="0" xfId="0" applyFill="1" applyAlignment="1">
      <alignment horizontal="left" vertical="top"/>
    </xf>
    <xf numFmtId="4" fontId="13" fillId="3" borderId="2" xfId="0" applyNumberFormat="1" applyFont="1" applyFill="1" applyBorder="1" applyAlignment="1">
      <alignment horizontal="right" vertical="top" wrapText="1"/>
    </xf>
    <xf numFmtId="0" fontId="17" fillId="7" borderId="0" xfId="0" applyFont="1" applyFill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4" fontId="11" fillId="8" borderId="2" xfId="0" applyNumberFormat="1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right" vertical="top"/>
    </xf>
    <xf numFmtId="4" fontId="19" fillId="8" borderId="2" xfId="0" applyNumberFormat="1" applyFont="1" applyFill="1" applyBorder="1" applyAlignment="1">
      <alignment horizontal="right" vertical="top" wrapText="1"/>
    </xf>
    <xf numFmtId="4" fontId="18" fillId="6" borderId="0" xfId="0" applyNumberFormat="1" applyFont="1" applyFill="1" applyAlignment="1">
      <alignment horizontal="right" vertical="top"/>
    </xf>
    <xf numFmtId="0" fontId="20" fillId="6" borderId="0" xfId="0" applyFont="1" applyFill="1" applyAlignment="1">
      <alignment horizontal="right" vertical="top"/>
    </xf>
    <xf numFmtId="0" fontId="21" fillId="6" borderId="0" xfId="0" applyFont="1" applyFill="1" applyAlignment="1">
      <alignment horizontal="left" vertical="top"/>
    </xf>
    <xf numFmtId="4" fontId="19" fillId="6" borderId="2" xfId="0" applyNumberFormat="1" applyFont="1" applyFill="1" applyBorder="1" applyAlignment="1">
      <alignment horizontal="right" vertical="top" wrapText="1"/>
    </xf>
    <xf numFmtId="0" fontId="18" fillId="8" borderId="0" xfId="0" applyFont="1" applyFill="1" applyAlignment="1">
      <alignment horizontal="left"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0" fillId="11" borderId="0" xfId="0" applyFill="1" applyAlignment="1">
      <alignment horizontal="left" vertical="top"/>
    </xf>
    <xf numFmtId="0" fontId="17" fillId="11" borderId="0" xfId="0" applyFont="1" applyFill="1" applyAlignment="1">
      <alignment horizontal="left" vertical="top" wrapText="1"/>
    </xf>
    <xf numFmtId="0" fontId="17" fillId="11" borderId="0" xfId="0" applyFont="1" applyFill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9" fontId="11" fillId="0" borderId="6" xfId="0" applyNumberFormat="1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23" fillId="0" borderId="11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49" fontId="24" fillId="12" borderId="6" xfId="0" applyNumberFormat="1" applyFont="1" applyFill="1" applyBorder="1" applyAlignment="1">
      <alignment horizontal="left"/>
    </xf>
    <xf numFmtId="49" fontId="24" fillId="12" borderId="6" xfId="0" applyNumberFormat="1" applyFont="1" applyFill="1" applyBorder="1" applyAlignment="1">
      <alignment horizontal="center"/>
    </xf>
    <xf numFmtId="0" fontId="24" fillId="0" borderId="6" xfId="0" applyFont="1" applyBorder="1" applyAlignment="1">
      <alignment horizontal="left" vertical="center" wrapText="1"/>
    </xf>
    <xf numFmtId="0" fontId="10" fillId="11" borderId="2" xfId="0" applyFont="1" applyFill="1" applyBorder="1" applyAlignment="1">
      <alignment horizontal="center" vertical="top" wrapText="1"/>
    </xf>
    <xf numFmtId="0" fontId="10" fillId="11" borderId="2" xfId="0" applyFont="1" applyFill="1" applyBorder="1" applyAlignment="1">
      <alignment horizontal="left" vertical="top" wrapText="1"/>
    </xf>
    <xf numFmtId="4" fontId="15" fillId="11" borderId="2" xfId="0" applyNumberFormat="1" applyFont="1" applyFill="1" applyBorder="1" applyAlignment="1">
      <alignment horizontal="right" vertical="top" wrapText="1"/>
    </xf>
    <xf numFmtId="0" fontId="4" fillId="11" borderId="0" xfId="0" applyFont="1" applyFill="1" applyAlignment="1">
      <alignment horizontal="left" vertical="top"/>
    </xf>
    <xf numFmtId="0" fontId="1" fillId="11" borderId="0" xfId="0" applyFont="1" applyFill="1" applyAlignment="1">
      <alignment horizontal="left" vertical="top"/>
    </xf>
    <xf numFmtId="0" fontId="0" fillId="11" borderId="10" xfId="0" applyFill="1" applyBorder="1" applyAlignment="1">
      <alignment horizontal="left" vertical="top" wrapText="1"/>
    </xf>
    <xf numFmtId="0" fontId="8" fillId="11" borderId="2" xfId="0" applyFont="1" applyFill="1" applyBorder="1" applyAlignment="1">
      <alignment horizontal="left" vertical="top" wrapText="1"/>
    </xf>
    <xf numFmtId="0" fontId="12" fillId="11" borderId="2" xfId="0" applyFont="1" applyFill="1" applyBorder="1" applyAlignment="1">
      <alignment horizontal="left" vertical="top" wrapText="1"/>
    </xf>
    <xf numFmtId="0" fontId="13" fillId="11" borderId="2" xfId="0" applyFont="1" applyFill="1" applyBorder="1" applyAlignment="1">
      <alignment horizontal="left" vertical="top" wrapText="1"/>
    </xf>
    <xf numFmtId="0" fontId="11" fillId="11" borderId="0" xfId="0" applyFont="1" applyFill="1" applyAlignment="1">
      <alignment horizontal="left" vertical="top"/>
    </xf>
    <xf numFmtId="0" fontId="9" fillId="11" borderId="0" xfId="0" applyFont="1" applyFill="1" applyAlignment="1">
      <alignment horizontal="center" vertical="top" wrapText="1"/>
    </xf>
    <xf numFmtId="0" fontId="18" fillId="11" borderId="0" xfId="0" applyFont="1" applyFill="1" applyAlignment="1">
      <alignment horizontal="left" vertical="top"/>
    </xf>
    <xf numFmtId="0" fontId="18" fillId="11" borderId="0" xfId="0" applyFont="1" applyFill="1" applyAlignment="1">
      <alignment horizontal="right" vertical="top"/>
    </xf>
    <xf numFmtId="0" fontId="20" fillId="11" borderId="0" xfId="0" applyFont="1" applyFill="1" applyAlignment="1">
      <alignment horizontal="right" vertical="top"/>
    </xf>
    <xf numFmtId="0" fontId="17" fillId="11" borderId="0" xfId="0" applyFont="1" applyFill="1" applyAlignment="1">
      <alignment horizontal="right" vertical="top"/>
    </xf>
    <xf numFmtId="0" fontId="21" fillId="11" borderId="0" xfId="0" applyFont="1" applyFill="1" applyAlignment="1">
      <alignment horizontal="right" vertical="top"/>
    </xf>
    <xf numFmtId="164" fontId="10" fillId="11" borderId="2" xfId="0" applyNumberFormat="1" applyFont="1" applyFill="1" applyBorder="1" applyAlignment="1">
      <alignment horizontal="left" vertical="top" wrapText="1"/>
    </xf>
    <xf numFmtId="0" fontId="25" fillId="11" borderId="2" xfId="0" applyFont="1" applyFill="1" applyBorder="1" applyAlignment="1">
      <alignment horizontal="left" vertical="top" wrapText="1"/>
    </xf>
    <xf numFmtId="4" fontId="26" fillId="11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4" fontId="8" fillId="3" borderId="2" xfId="0" applyNumberFormat="1" applyFont="1" applyFill="1" applyBorder="1" applyAlignment="1">
      <alignment horizontal="righ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11" borderId="2" xfId="0" applyFont="1" applyFill="1" applyBorder="1" applyAlignment="1">
      <alignment horizontal="left" vertical="top" wrapText="1"/>
    </xf>
    <xf numFmtId="4" fontId="27" fillId="3" borderId="2" xfId="0" applyNumberFormat="1" applyFont="1" applyFill="1" applyBorder="1" applyAlignment="1">
      <alignment horizontal="right" vertical="top" wrapText="1"/>
    </xf>
    <xf numFmtId="164" fontId="10" fillId="6" borderId="2" xfId="0" applyNumberFormat="1" applyFont="1" applyFill="1" applyBorder="1" applyAlignment="1">
      <alignment horizontal="left" vertical="top" wrapText="1"/>
    </xf>
    <xf numFmtId="4" fontId="10" fillId="3" borderId="2" xfId="0" applyNumberFormat="1" applyFont="1" applyFill="1" applyBorder="1" applyAlignment="1">
      <alignment horizontal="right" vertical="top" wrapText="1"/>
    </xf>
    <xf numFmtId="0" fontId="27" fillId="6" borderId="2" xfId="0" applyFont="1" applyFill="1" applyBorder="1" applyAlignment="1">
      <alignment horizontal="left" vertical="top" wrapText="1"/>
    </xf>
    <xf numFmtId="4" fontId="27" fillId="11" borderId="2" xfId="0" applyNumberFormat="1" applyFont="1" applyFill="1" applyBorder="1" applyAlignment="1">
      <alignment horizontal="right" vertical="top" wrapText="1"/>
    </xf>
    <xf numFmtId="4" fontId="27" fillId="10" borderId="2" xfId="0" applyNumberFormat="1" applyFont="1" applyFill="1" applyBorder="1" applyAlignment="1">
      <alignment horizontal="right" vertical="top" wrapText="1"/>
    </xf>
    <xf numFmtId="4" fontId="12" fillId="10" borderId="2" xfId="0" applyNumberFormat="1" applyFont="1" applyFill="1" applyBorder="1" applyAlignment="1">
      <alignment horizontal="righ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11" borderId="2" xfId="0" applyFont="1" applyFill="1" applyBorder="1" applyAlignment="1">
      <alignment horizontal="left" vertical="top" wrapText="1"/>
    </xf>
    <xf numFmtId="4" fontId="15" fillId="3" borderId="2" xfId="0" applyNumberFormat="1" applyFont="1" applyFill="1" applyBorder="1" applyAlignment="1">
      <alignment horizontal="right" vertical="top" wrapText="1"/>
    </xf>
    <xf numFmtId="0" fontId="26" fillId="3" borderId="2" xfId="0" applyFont="1" applyFill="1" applyBorder="1" applyAlignment="1">
      <alignment horizontal="left" vertical="top" wrapText="1"/>
    </xf>
    <xf numFmtId="0" fontId="26" fillId="11" borderId="2" xfId="0" applyFont="1" applyFill="1" applyBorder="1" applyAlignment="1">
      <alignment horizontal="left" vertical="top" wrapText="1"/>
    </xf>
    <xf numFmtId="4" fontId="26" fillId="3" borderId="2" xfId="0" applyNumberFormat="1" applyFont="1" applyFill="1" applyBorder="1" applyAlignment="1">
      <alignment horizontal="right" vertical="top" wrapText="1"/>
    </xf>
    <xf numFmtId="164" fontId="10" fillId="3" borderId="2" xfId="0" applyNumberFormat="1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left" vertical="top" wrapText="1"/>
    </xf>
    <xf numFmtId="4" fontId="26" fillId="6" borderId="2" xfId="0" applyNumberFormat="1" applyFont="1" applyFill="1" applyBorder="1" applyAlignment="1">
      <alignment horizontal="right" vertical="top" wrapText="1"/>
    </xf>
    <xf numFmtId="164" fontId="12" fillId="3" borderId="2" xfId="0" applyNumberFormat="1" applyFont="1" applyFill="1" applyBorder="1" applyAlignment="1">
      <alignment horizontal="left" vertical="top" wrapText="1"/>
    </xf>
    <xf numFmtId="164" fontId="12" fillId="11" borderId="2" xfId="0" applyNumberFormat="1" applyFont="1" applyFill="1" applyBorder="1" applyAlignment="1">
      <alignment horizontal="left" vertical="top" wrapText="1"/>
    </xf>
    <xf numFmtId="0" fontId="28" fillId="6" borderId="6" xfId="0" applyFont="1" applyFill="1" applyBorder="1" applyAlignment="1">
      <alignment horizontal="left" vertical="center" wrapText="1" indent="1"/>
    </xf>
    <xf numFmtId="0" fontId="28" fillId="11" borderId="0" xfId="0" applyFont="1" applyFill="1" applyAlignment="1">
      <alignment horizontal="left" vertical="center" wrapText="1" indent="1"/>
    </xf>
    <xf numFmtId="4" fontId="27" fillId="9" borderId="2" xfId="0" applyNumberFormat="1" applyFont="1" applyFill="1" applyBorder="1" applyAlignment="1">
      <alignment horizontal="right" vertical="top" wrapText="1"/>
    </xf>
    <xf numFmtId="0" fontId="27" fillId="6" borderId="2" xfId="0" applyFont="1" applyFill="1" applyBorder="1" applyAlignment="1">
      <alignment horizontal="center" vertical="top" wrapText="1"/>
    </xf>
    <xf numFmtId="0" fontId="27" fillId="11" borderId="2" xfId="0" applyFont="1" applyFill="1" applyBorder="1" applyAlignment="1">
      <alignment horizontal="center" vertical="top" wrapText="1"/>
    </xf>
    <xf numFmtId="4" fontId="27" fillId="6" borderId="2" xfId="0" applyNumberFormat="1" applyFont="1" applyFill="1" applyBorder="1" applyAlignment="1">
      <alignment horizontal="right" vertical="top" wrapText="1"/>
    </xf>
    <xf numFmtId="4" fontId="29" fillId="6" borderId="2" xfId="0" applyNumberFormat="1" applyFont="1" applyFill="1" applyBorder="1" applyAlignment="1">
      <alignment horizontal="right" vertical="top" wrapText="1"/>
    </xf>
    <xf numFmtId="4" fontId="30" fillId="3" borderId="2" xfId="0" applyNumberFormat="1" applyFont="1" applyFill="1" applyBorder="1" applyAlignment="1">
      <alignment horizontal="right" vertical="top" wrapText="1"/>
    </xf>
    <xf numFmtId="4" fontId="30" fillId="6" borderId="2" xfId="0" applyNumberFormat="1" applyFont="1" applyFill="1" applyBorder="1" applyAlignment="1">
      <alignment horizontal="right" vertical="top" wrapText="1"/>
    </xf>
    <xf numFmtId="4" fontId="31" fillId="3" borderId="2" xfId="0" applyNumberFormat="1" applyFont="1" applyFill="1" applyBorder="1" applyAlignment="1">
      <alignment horizontal="right" vertical="top" wrapText="1"/>
    </xf>
    <xf numFmtId="4" fontId="31" fillId="4" borderId="2" xfId="0" applyNumberFormat="1" applyFont="1" applyFill="1" applyBorder="1" applyAlignment="1">
      <alignment horizontal="right" vertical="top" wrapText="1"/>
    </xf>
    <xf numFmtId="4" fontId="32" fillId="3" borderId="2" xfId="0" applyNumberFormat="1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34" fillId="11" borderId="0" xfId="0" applyFont="1" applyFill="1" applyAlignment="1">
      <alignment vertical="center"/>
    </xf>
    <xf numFmtId="0" fontId="35" fillId="11" borderId="0" xfId="0" applyFont="1" applyFill="1"/>
    <xf numFmtId="0" fontId="35" fillId="11" borderId="0" xfId="0" applyFont="1" applyFill="1" applyAlignment="1">
      <alignment vertical="center"/>
    </xf>
    <xf numFmtId="0" fontId="36" fillId="11" borderId="13" xfId="0" applyFont="1" applyFill="1" applyBorder="1" applyAlignment="1">
      <alignment horizontal="left" wrapText="1"/>
    </xf>
    <xf numFmtId="0" fontId="35" fillId="11" borderId="16" xfId="0" applyFont="1" applyFill="1" applyBorder="1"/>
    <xf numFmtId="0" fontId="35" fillId="11" borderId="17" xfId="0" applyFont="1" applyFill="1" applyBorder="1"/>
    <xf numFmtId="0" fontId="35" fillId="11" borderId="18" xfId="0" applyFont="1" applyFill="1" applyBorder="1"/>
    <xf numFmtId="0" fontId="37" fillId="5" borderId="9" xfId="0" applyFont="1" applyFill="1" applyBorder="1" applyAlignment="1">
      <alignment vertical="center" wrapText="1"/>
    </xf>
    <xf numFmtId="0" fontId="35" fillId="11" borderId="9" xfId="0" applyFont="1" applyFill="1" applyBorder="1"/>
    <xf numFmtId="0" fontId="37" fillId="13" borderId="9" xfId="0" applyFont="1" applyFill="1" applyBorder="1" applyAlignment="1">
      <alignment vertical="center" wrapText="1"/>
    </xf>
    <xf numFmtId="0" fontId="35" fillId="13" borderId="6" xfId="0" applyFont="1" applyFill="1" applyBorder="1"/>
    <xf numFmtId="0" fontId="35" fillId="11" borderId="6" xfId="0" applyFont="1" applyFill="1" applyBorder="1"/>
    <xf numFmtId="0" fontId="37" fillId="14" borderId="6" xfId="0" applyFont="1" applyFill="1" applyBorder="1" applyAlignment="1">
      <alignment wrapText="1"/>
    </xf>
    <xf numFmtId="0" fontId="37" fillId="5" borderId="6" xfId="0" applyFont="1" applyFill="1" applyBorder="1" applyAlignment="1">
      <alignment vertical="center" wrapText="1"/>
    </xf>
    <xf numFmtId="0" fontId="37" fillId="13" borderId="6" xfId="0" applyFont="1" applyFill="1" applyBorder="1" applyAlignment="1">
      <alignment vertical="center" wrapText="1"/>
    </xf>
    <xf numFmtId="0" fontId="35" fillId="14" borderId="6" xfId="0" applyFont="1" applyFill="1" applyBorder="1" applyAlignment="1">
      <alignment wrapText="1"/>
    </xf>
    <xf numFmtId="0" fontId="34" fillId="5" borderId="11" xfId="0" applyFont="1" applyFill="1" applyBorder="1" applyAlignment="1">
      <alignment vertical="center" wrapText="1"/>
    </xf>
    <xf numFmtId="0" fontId="34" fillId="11" borderId="6" xfId="0" applyFont="1" applyFill="1" applyBorder="1"/>
    <xf numFmtId="0" fontId="35" fillId="0" borderId="0" xfId="0" applyFont="1"/>
    <xf numFmtId="0" fontId="35" fillId="11" borderId="0" xfId="0" applyFont="1" applyFill="1" applyAlignment="1">
      <alignment horizontal="right"/>
    </xf>
    <xf numFmtId="165" fontId="35" fillId="11" borderId="0" xfId="0" applyNumberFormat="1" applyFont="1" applyFill="1" applyAlignment="1">
      <alignment horizontal="right"/>
    </xf>
    <xf numFmtId="4" fontId="35" fillId="11" borderId="9" xfId="0" applyNumberFormat="1" applyFont="1" applyFill="1" applyBorder="1"/>
    <xf numFmtId="4" fontId="35" fillId="13" borderId="6" xfId="0" applyNumberFormat="1" applyFont="1" applyFill="1" applyBorder="1"/>
    <xf numFmtId="4" fontId="35" fillId="11" borderId="6" xfId="0" applyNumberFormat="1" applyFont="1" applyFill="1" applyBorder="1"/>
    <xf numFmtId="4" fontId="35" fillId="11" borderId="0" xfId="0" applyNumberFormat="1" applyFont="1" applyFill="1"/>
    <xf numFmtId="4" fontId="34" fillId="11" borderId="6" xfId="0" applyNumberFormat="1" applyFont="1" applyFill="1" applyBorder="1"/>
    <xf numFmtId="0" fontId="42" fillId="11" borderId="0" xfId="0" applyFont="1" applyFill="1" applyAlignment="1">
      <alignment horizontal="right" vertical="center"/>
    </xf>
    <xf numFmtId="4" fontId="34" fillId="11" borderId="0" xfId="0" applyNumberFormat="1" applyFont="1" applyFill="1"/>
    <xf numFmtId="0" fontId="4" fillId="11" borderId="0" xfId="0" applyFont="1" applyFill="1" applyAlignment="1">
      <alignment horizontal="left" vertical="top" wrapText="1"/>
    </xf>
    <xf numFmtId="0" fontId="41" fillId="11" borderId="0" xfId="0" applyFont="1" applyFill="1" applyAlignment="1">
      <alignment horizontal="right"/>
    </xf>
    <xf numFmtId="43" fontId="43" fillId="11" borderId="0" xfId="1" applyFont="1" applyFill="1" applyAlignment="1">
      <alignment horizontal="right"/>
    </xf>
    <xf numFmtId="0" fontId="44" fillId="0" borderId="0" xfId="0" applyFont="1" applyAlignment="1">
      <alignment horizontal="left" vertical="top"/>
    </xf>
    <xf numFmtId="4" fontId="35" fillId="13" borderId="0" xfId="0" applyNumberFormat="1" applyFont="1" applyFill="1"/>
    <xf numFmtId="4" fontId="45" fillId="3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top" textRotation="255" wrapText="1"/>
    </xf>
    <xf numFmtId="0" fontId="7" fillId="4" borderId="8" xfId="0" applyFont="1" applyFill="1" applyBorder="1" applyAlignment="1">
      <alignment horizontal="center" vertical="top" textRotation="255" wrapText="1"/>
    </xf>
    <xf numFmtId="0" fontId="7" fillId="4" borderId="9" xfId="0" applyFont="1" applyFill="1" applyBorder="1" applyAlignment="1">
      <alignment horizontal="center" vertical="top" textRotation="255" wrapText="1"/>
    </xf>
    <xf numFmtId="0" fontId="9" fillId="0" borderId="6" xfId="0" applyFont="1" applyBorder="1" applyAlignment="1">
      <alignment horizontal="center" vertical="top" wrapText="1"/>
    </xf>
    <xf numFmtId="0" fontId="34" fillId="11" borderId="13" xfId="0" applyFont="1" applyFill="1" applyBorder="1" applyAlignment="1">
      <alignment horizontal="center"/>
    </xf>
    <xf numFmtId="0" fontId="34" fillId="11" borderId="14" xfId="0" applyFont="1" applyFill="1" applyBorder="1" applyAlignment="1">
      <alignment horizontal="center"/>
    </xf>
    <xf numFmtId="0" fontId="34" fillId="11" borderId="1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FF"/>
      <color rgb="FF99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a Jänes" id="{30776398-DB98-4DAE-BE3F-ED67413E093E}" userId="S::tea.janes@kysk.ee::42425cc3-63a2-459f-97d6-5cb0d6fffe2f" providerId="AD"/>
  <person displayName="Kerstin Rei" id="{902893DD-B2B9-4CE6-B84D-CD66BDB20120}" userId="S::kerstin.rei@kysk.ee::abefc5b9-5063-47a2-a6f6-aaa5a4f6fad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4-12-04T14:28:24.55" personId="{30776398-DB98-4DAE-BE3F-ED67413E093E}" id="{3612AEB9-BAC4-448B-9FB3-89632148E464}">
    <text>80% taotletud toetusest</text>
  </threadedComment>
  <threadedComment ref="D10" dT="2024-12-04T14:28:24.55" personId="{30776398-DB98-4DAE-BE3F-ED67413E093E}" id="{AB20513C-F27B-499A-BA5B-0586CB74607F}">
    <text>80% taotletud toetusest</text>
  </threadedComment>
  <threadedComment ref="A41" dT="2024-12-03T16:04:34.31" personId="{902893DD-B2B9-4CE6-B84D-CD66BDB20120}" id="{3AF3C150-E94C-49B7-A1F3-51271EF4D61F}">
    <text>taotlusi ei tulnud kogu eelarve mahus, tuli 979 266,75 eurot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zoomScaleNormal="100" workbookViewId="0">
      <pane ySplit="3" topLeftCell="A42" activePane="bottomLeft" state="frozen"/>
      <selection pane="bottomLeft" activeCell="C24" sqref="C24"/>
    </sheetView>
  </sheetViews>
  <sheetFormatPr defaultColWidth="9.33203125" defaultRowHeight="13.2" outlineLevelRow="1"/>
  <cols>
    <col min="1" max="1" width="29.44140625" customWidth="1"/>
    <col min="2" max="2" width="15.109375" style="38" customWidth="1"/>
    <col min="3" max="7" width="16" customWidth="1"/>
    <col min="8" max="8" width="22.33203125" customWidth="1"/>
    <col min="9" max="9" width="12.109375" customWidth="1"/>
    <col min="10" max="10" width="47.33203125" customWidth="1"/>
    <col min="12" max="12" width="13.6640625" bestFit="1" customWidth="1"/>
  </cols>
  <sheetData>
    <row r="1" spans="1:10" ht="13.5" customHeight="1">
      <c r="A1" s="1" t="s">
        <v>0</v>
      </c>
      <c r="B1" s="55"/>
    </row>
    <row r="2" spans="1:10" ht="26.25" customHeight="1">
      <c r="A2" s="2"/>
      <c r="B2" s="56"/>
      <c r="C2" s="141" t="s">
        <v>1</v>
      </c>
      <c r="D2" s="142"/>
      <c r="E2" s="142"/>
      <c r="F2" s="142"/>
      <c r="G2" s="142"/>
      <c r="H2" s="143"/>
    </row>
    <row r="3" spans="1:10" ht="46.5" customHeight="1">
      <c r="A3" s="3" t="s">
        <v>2</v>
      </c>
      <c r="B3" s="68" t="s">
        <v>79</v>
      </c>
      <c r="C3" s="4">
        <v>2025</v>
      </c>
      <c r="D3" s="4">
        <v>2026</v>
      </c>
      <c r="E3" s="4">
        <v>2027</v>
      </c>
      <c r="F3" s="4">
        <v>2028</v>
      </c>
      <c r="G3" s="4">
        <v>2029</v>
      </c>
      <c r="H3" s="5" t="s">
        <v>3</v>
      </c>
    </row>
    <row r="4" spans="1:10" ht="46.8">
      <c r="A4" s="9" t="s">
        <v>11</v>
      </c>
      <c r="B4" s="57"/>
      <c r="C4" s="72">
        <f>C5+C6+C14+C23+C22</f>
        <v>936679.63</v>
      </c>
      <c r="D4" s="72">
        <f>D5+D6+D14+D23</f>
        <v>677222.58000000007</v>
      </c>
      <c r="E4" s="72">
        <f>E5+E6+E14+E23</f>
        <v>645600</v>
      </c>
      <c r="F4" s="72">
        <f>F5+F6+F14+F23</f>
        <v>663400</v>
      </c>
      <c r="G4" s="72">
        <f>G5+G6+G14+G23</f>
        <v>703000</v>
      </c>
      <c r="H4" s="72">
        <f>SUM(C4:G4)</f>
        <v>3625902.21</v>
      </c>
    </row>
    <row r="5" spans="1:10" ht="31.2">
      <c r="A5" s="73" t="s">
        <v>12</v>
      </c>
      <c r="B5" s="74">
        <v>140000</v>
      </c>
      <c r="C5" s="75">
        <v>100000</v>
      </c>
      <c r="D5" s="75">
        <v>100000</v>
      </c>
      <c r="E5" s="75">
        <v>100000</v>
      </c>
      <c r="F5" s="75">
        <v>100000</v>
      </c>
      <c r="G5" s="75">
        <v>100000</v>
      </c>
      <c r="H5" s="75">
        <f>SUM(C5:G5)</f>
        <v>500000</v>
      </c>
    </row>
    <row r="6" spans="1:10" ht="31.2">
      <c r="A6" s="73" t="s">
        <v>13</v>
      </c>
      <c r="B6" s="75">
        <f>B7+B8+B9</f>
        <v>365000</v>
      </c>
      <c r="C6" s="75">
        <f>C7+C8+C9</f>
        <v>383182.63</v>
      </c>
      <c r="D6" s="75">
        <f>D10+D8+D9</f>
        <v>331822.58</v>
      </c>
      <c r="E6" s="75">
        <f>E10+E11+E9</f>
        <v>367000</v>
      </c>
      <c r="F6" s="75">
        <f>F10+F11+F12</f>
        <v>365000</v>
      </c>
      <c r="G6" s="75">
        <f>G11+G12+G13</f>
        <v>365000</v>
      </c>
      <c r="H6" s="75">
        <f t="shared" ref="H6:H66" si="0">SUM(C6:G6)</f>
        <v>1812005.21</v>
      </c>
    </row>
    <row r="7" spans="1:10" ht="27" customHeight="1" outlineLevel="1">
      <c r="A7" s="76">
        <v>2023</v>
      </c>
      <c r="B7" s="67"/>
      <c r="C7" s="19">
        <v>40000</v>
      </c>
      <c r="D7" s="11"/>
      <c r="E7" s="11"/>
      <c r="F7" s="11"/>
      <c r="G7" s="11"/>
      <c r="H7" s="11">
        <f t="shared" si="0"/>
        <v>40000</v>
      </c>
    </row>
    <row r="8" spans="1:10" ht="27" customHeight="1" outlineLevel="1">
      <c r="A8" s="76">
        <v>2024</v>
      </c>
      <c r="B8" s="67">
        <v>365000</v>
      </c>
      <c r="C8" s="19">
        <v>43182.63</v>
      </c>
      <c r="D8" s="19">
        <v>39822.58</v>
      </c>
      <c r="E8" s="11"/>
      <c r="F8" s="11"/>
      <c r="G8" s="11"/>
      <c r="H8" s="11">
        <f t="shared" si="0"/>
        <v>83005.209999999992</v>
      </c>
      <c r="J8" t="s">
        <v>4</v>
      </c>
    </row>
    <row r="9" spans="1:10" ht="27" customHeight="1" outlineLevel="1">
      <c r="A9" s="76">
        <v>2025</v>
      </c>
      <c r="B9" s="67"/>
      <c r="C9" s="19">
        <v>300000</v>
      </c>
      <c r="D9" s="11">
        <v>0</v>
      </c>
      <c r="E9" s="105">
        <v>75000</v>
      </c>
      <c r="F9" s="11"/>
      <c r="G9" s="11"/>
      <c r="H9" s="11">
        <f>SUM(C9:G9)</f>
        <v>375000</v>
      </c>
    </row>
    <row r="10" spans="1:10" ht="27" customHeight="1" outlineLevel="1">
      <c r="A10" s="76">
        <v>2026</v>
      </c>
      <c r="B10" s="67"/>
      <c r="C10" s="11"/>
      <c r="D10" s="11">
        <v>292000</v>
      </c>
      <c r="E10" s="77">
        <v>0</v>
      </c>
      <c r="F10" s="77">
        <v>73000</v>
      </c>
      <c r="G10" s="11"/>
      <c r="H10" s="11">
        <f t="shared" si="0"/>
        <v>365000</v>
      </c>
    </row>
    <row r="11" spans="1:10" ht="27" customHeight="1" outlineLevel="1">
      <c r="A11" s="76">
        <v>2027</v>
      </c>
      <c r="B11" s="67"/>
      <c r="C11" s="11"/>
      <c r="D11" s="11"/>
      <c r="E11" s="11">
        <v>292000</v>
      </c>
      <c r="F11" s="77">
        <v>0</v>
      </c>
      <c r="G11" s="77">
        <v>73000</v>
      </c>
      <c r="H11" s="11">
        <f t="shared" si="0"/>
        <v>365000</v>
      </c>
    </row>
    <row r="12" spans="1:10" ht="27" customHeight="1" outlineLevel="1">
      <c r="A12" s="76">
        <v>2028</v>
      </c>
      <c r="B12" s="67"/>
      <c r="C12" s="11"/>
      <c r="D12" s="11"/>
      <c r="E12" s="11"/>
      <c r="F12" s="11">
        <v>292000</v>
      </c>
      <c r="G12" s="77">
        <v>0</v>
      </c>
      <c r="H12" s="11">
        <f t="shared" si="0"/>
        <v>292000</v>
      </c>
    </row>
    <row r="13" spans="1:10" ht="24.9" customHeight="1" outlineLevel="1">
      <c r="A13" s="76">
        <v>2029</v>
      </c>
      <c r="B13" s="67"/>
      <c r="C13" s="11"/>
      <c r="D13" s="11"/>
      <c r="E13" s="11"/>
      <c r="F13" s="11"/>
      <c r="G13" s="11">
        <v>292000</v>
      </c>
      <c r="H13" s="11">
        <f>SUM(C13:G13)</f>
        <v>292000</v>
      </c>
    </row>
    <row r="14" spans="1:10" ht="41.1" customHeight="1">
      <c r="A14" s="78" t="s">
        <v>9</v>
      </c>
      <c r="B14" s="79">
        <f>B15+B16+B17+B18</f>
        <v>38500</v>
      </c>
      <c r="C14" s="75">
        <f>C15+C16+C17+C18</f>
        <v>159997</v>
      </c>
      <c r="D14" s="75">
        <f>D15+D16+D17+D18</f>
        <v>145400</v>
      </c>
      <c r="E14" s="75">
        <f>E15+E16+E17+E18+E19</f>
        <v>78600</v>
      </c>
      <c r="F14" s="80">
        <f>F20</f>
        <v>98400</v>
      </c>
      <c r="G14" s="80">
        <f>G20+G21</f>
        <v>138000</v>
      </c>
      <c r="H14" s="75">
        <f t="shared" si="0"/>
        <v>620397</v>
      </c>
      <c r="I14" s="8" t="s">
        <v>45</v>
      </c>
      <c r="J14" s="38"/>
    </row>
    <row r="15" spans="1:10" ht="41.1" customHeight="1" outlineLevel="1">
      <c r="A15" s="12">
        <v>2023</v>
      </c>
      <c r="B15" s="58"/>
      <c r="C15" s="19">
        <v>2497</v>
      </c>
      <c r="D15" s="11"/>
      <c r="E15" s="11"/>
      <c r="F15" s="11"/>
      <c r="G15" s="11"/>
      <c r="H15" s="11">
        <f t="shared" si="0"/>
        <v>2497</v>
      </c>
      <c r="J15" s="38"/>
    </row>
    <row r="16" spans="1:10" ht="41.1" customHeight="1" outlineLevel="1">
      <c r="A16" s="12">
        <v>2024</v>
      </c>
      <c r="B16" s="52">
        <v>38500</v>
      </c>
      <c r="C16" s="19">
        <f>20000+38500</f>
        <v>58500</v>
      </c>
      <c r="D16" s="19">
        <v>20000</v>
      </c>
      <c r="E16" s="11"/>
      <c r="F16" s="11"/>
      <c r="G16" s="11"/>
      <c r="H16" s="11">
        <f t="shared" si="0"/>
        <v>78500</v>
      </c>
      <c r="J16" s="38"/>
    </row>
    <row r="17" spans="1:10" ht="41.1" customHeight="1" outlineLevel="1">
      <c r="A17" s="12">
        <v>2025</v>
      </c>
      <c r="B17" s="58"/>
      <c r="C17" s="19">
        <v>99000</v>
      </c>
      <c r="D17" s="19">
        <v>66000</v>
      </c>
      <c r="E17" s="11"/>
      <c r="F17" s="11"/>
      <c r="G17" s="11"/>
      <c r="H17" s="11">
        <f t="shared" si="0"/>
        <v>165000</v>
      </c>
      <c r="J17" s="38"/>
    </row>
    <row r="18" spans="1:10" ht="41.1" customHeight="1" outlineLevel="1">
      <c r="A18" s="12">
        <v>2026</v>
      </c>
      <c r="B18" s="58"/>
      <c r="C18" s="11"/>
      <c r="D18" s="11">
        <v>59400</v>
      </c>
      <c r="E18" s="11">
        <v>39600</v>
      </c>
      <c r="F18" s="11"/>
      <c r="G18" s="11"/>
      <c r="H18" s="11">
        <f t="shared" si="0"/>
        <v>99000</v>
      </c>
      <c r="J18" s="38"/>
    </row>
    <row r="19" spans="1:10" ht="41.1" customHeight="1" outlineLevel="1">
      <c r="A19" s="12">
        <v>2027</v>
      </c>
      <c r="B19" s="58"/>
      <c r="C19" s="11"/>
      <c r="D19" s="11"/>
      <c r="E19" s="11">
        <v>39000</v>
      </c>
      <c r="F19" s="11"/>
      <c r="G19" s="11"/>
      <c r="H19" s="11">
        <f t="shared" si="0"/>
        <v>39000</v>
      </c>
      <c r="J19" s="38"/>
    </row>
    <row r="20" spans="1:10" ht="41.1" customHeight="1" outlineLevel="1">
      <c r="A20" s="12">
        <v>2028</v>
      </c>
      <c r="B20" s="58"/>
      <c r="C20" s="11"/>
      <c r="D20" s="11"/>
      <c r="E20" s="11"/>
      <c r="F20" s="81">
        <v>98400</v>
      </c>
      <c r="G20" s="81">
        <v>39600</v>
      </c>
      <c r="H20" s="11">
        <f t="shared" si="0"/>
        <v>138000</v>
      </c>
      <c r="J20" s="38"/>
    </row>
    <row r="21" spans="1:10" ht="41.1" customHeight="1" outlineLevel="1">
      <c r="A21" s="12">
        <v>2029</v>
      </c>
      <c r="B21" s="58"/>
      <c r="C21" s="11"/>
      <c r="D21" s="11"/>
      <c r="E21" s="11"/>
      <c r="F21" s="81"/>
      <c r="G21" s="81">
        <v>98400</v>
      </c>
      <c r="H21" s="11">
        <f t="shared" si="0"/>
        <v>98400</v>
      </c>
      <c r="J21" s="38"/>
    </row>
    <row r="22" spans="1:10" ht="41.1" customHeight="1" outlineLevel="1">
      <c r="A22" s="89" t="s">
        <v>110</v>
      </c>
      <c r="B22" s="58"/>
      <c r="C22" s="19">
        <v>150000</v>
      </c>
      <c r="D22" s="11"/>
      <c r="E22" s="11"/>
      <c r="F22" s="81"/>
      <c r="G22" s="81"/>
      <c r="H22" s="11"/>
      <c r="J22" s="38"/>
    </row>
    <row r="23" spans="1:10" ht="32.25" customHeight="1">
      <c r="A23" s="73" t="s">
        <v>8</v>
      </c>
      <c r="B23" s="74">
        <v>100000</v>
      </c>
      <c r="C23" s="75">
        <f>C24+C25</f>
        <v>143500</v>
      </c>
      <c r="D23" s="75">
        <f t="shared" ref="D23:G23" si="1">D24+D25</f>
        <v>100000</v>
      </c>
      <c r="E23" s="75">
        <f t="shared" si="1"/>
        <v>100000</v>
      </c>
      <c r="F23" s="75">
        <f t="shared" si="1"/>
        <v>100000</v>
      </c>
      <c r="G23" s="75">
        <f t="shared" si="1"/>
        <v>100000</v>
      </c>
      <c r="H23" s="75">
        <f t="shared" si="0"/>
        <v>543500</v>
      </c>
    </row>
    <row r="24" spans="1:10" ht="15.6">
      <c r="A24" s="82" t="s">
        <v>5</v>
      </c>
      <c r="B24" s="83"/>
      <c r="C24" s="84">
        <v>40000</v>
      </c>
      <c r="D24" s="84">
        <v>30000</v>
      </c>
      <c r="E24" s="84">
        <v>30000</v>
      </c>
      <c r="F24" s="84">
        <v>30000</v>
      </c>
      <c r="G24" s="84">
        <v>30000</v>
      </c>
      <c r="H24" s="84">
        <f t="shared" si="0"/>
        <v>160000</v>
      </c>
    </row>
    <row r="25" spans="1:10" ht="33.75" customHeight="1">
      <c r="A25" s="82" t="s">
        <v>6</v>
      </c>
      <c r="B25" s="83"/>
      <c r="C25" s="84">
        <f>100000+3500</f>
        <v>103500</v>
      </c>
      <c r="D25" s="84">
        <f>3500+66500</f>
        <v>70000</v>
      </c>
      <c r="E25" s="84">
        <f>3500+66500</f>
        <v>70000</v>
      </c>
      <c r="F25" s="84">
        <f>3500+66500</f>
        <v>70000</v>
      </c>
      <c r="G25" s="84">
        <f>3500+66500</f>
        <v>70000</v>
      </c>
      <c r="H25" s="84">
        <f t="shared" si="0"/>
        <v>383500</v>
      </c>
    </row>
    <row r="26" spans="1:10" ht="33.75" customHeight="1" outlineLevel="1">
      <c r="A26" s="10">
        <v>2024</v>
      </c>
      <c r="B26" s="52"/>
      <c r="C26" s="19">
        <v>3500</v>
      </c>
      <c r="D26" s="11"/>
      <c r="E26" s="11"/>
      <c r="F26" s="11"/>
      <c r="G26" s="11"/>
      <c r="H26" s="11">
        <f t="shared" si="0"/>
        <v>3500</v>
      </c>
    </row>
    <row r="27" spans="1:10" ht="33.75" customHeight="1" outlineLevel="1">
      <c r="A27" s="10">
        <v>2025</v>
      </c>
      <c r="B27" s="52"/>
      <c r="C27" s="19">
        <v>100000</v>
      </c>
      <c r="D27" s="19"/>
      <c r="E27" s="11"/>
      <c r="F27" s="11"/>
      <c r="G27" s="11"/>
      <c r="H27" s="11">
        <f t="shared" si="0"/>
        <v>100000</v>
      </c>
    </row>
    <row r="28" spans="1:10" ht="33.75" customHeight="1" outlineLevel="1">
      <c r="A28" s="10">
        <v>2026</v>
      </c>
      <c r="B28" s="52"/>
      <c r="C28" s="11"/>
      <c r="D28" s="11">
        <v>66500</v>
      </c>
      <c r="E28" s="11">
        <v>3500</v>
      </c>
      <c r="F28" s="11"/>
      <c r="G28" s="11"/>
      <c r="H28" s="11">
        <f t="shared" si="0"/>
        <v>70000</v>
      </c>
    </row>
    <row r="29" spans="1:10" ht="33.75" customHeight="1" outlineLevel="1">
      <c r="A29" s="10">
        <v>2027</v>
      </c>
      <c r="B29" s="52"/>
      <c r="C29" s="11"/>
      <c r="D29" s="11"/>
      <c r="E29" s="11">
        <v>66500</v>
      </c>
      <c r="F29" s="11">
        <v>3500</v>
      </c>
      <c r="G29" s="11"/>
      <c r="H29" s="11">
        <f t="shared" si="0"/>
        <v>70000</v>
      </c>
    </row>
    <row r="30" spans="1:10" ht="33.75" customHeight="1" outlineLevel="1">
      <c r="A30" s="10">
        <v>2028</v>
      </c>
      <c r="B30" s="52"/>
      <c r="C30" s="11"/>
      <c r="D30" s="11"/>
      <c r="E30" s="11"/>
      <c r="F30" s="11">
        <v>66500</v>
      </c>
      <c r="G30" s="11">
        <v>3500</v>
      </c>
      <c r="H30" s="11">
        <f t="shared" si="0"/>
        <v>70000</v>
      </c>
    </row>
    <row r="31" spans="1:10" ht="33.75" customHeight="1" outlineLevel="1">
      <c r="A31" s="10">
        <v>2029</v>
      </c>
      <c r="B31" s="52"/>
      <c r="C31" s="11"/>
      <c r="D31" s="11"/>
      <c r="E31" s="11"/>
      <c r="F31" s="11"/>
      <c r="G31" s="11">
        <v>66500</v>
      </c>
      <c r="H31" s="11">
        <f t="shared" si="0"/>
        <v>66500</v>
      </c>
    </row>
    <row r="32" spans="1:10" ht="27" customHeight="1">
      <c r="A32" s="12" t="s">
        <v>80</v>
      </c>
      <c r="B32" s="58"/>
      <c r="C32" s="104">
        <f>C33+C40</f>
        <v>1278790</v>
      </c>
      <c r="D32" s="23">
        <f>D33+D40</f>
        <v>344224</v>
      </c>
      <c r="E32" s="23">
        <f t="shared" ref="E32:H32" si="2">E33+E40</f>
        <v>942821</v>
      </c>
      <c r="F32" s="23">
        <f t="shared" si="2"/>
        <v>942821</v>
      </c>
      <c r="G32" s="23">
        <f t="shared" si="2"/>
        <v>942821</v>
      </c>
      <c r="H32" s="11">
        <f t="shared" si="2"/>
        <v>4451477</v>
      </c>
    </row>
    <row r="33" spans="1:15" ht="31.2">
      <c r="A33" s="85" t="s">
        <v>14</v>
      </c>
      <c r="B33" s="86"/>
      <c r="C33" s="87">
        <f>C34+C35</f>
        <v>180000</v>
      </c>
      <c r="D33" s="87">
        <f>D35+D36</f>
        <v>169224</v>
      </c>
      <c r="E33" s="87">
        <f>E36+E37</f>
        <v>165000</v>
      </c>
      <c r="F33" s="87">
        <f>F37+F38</f>
        <v>165000</v>
      </c>
      <c r="G33" s="87">
        <f>G38+G39</f>
        <v>165000</v>
      </c>
      <c r="H33" s="87">
        <f t="shared" si="0"/>
        <v>844224</v>
      </c>
    </row>
    <row r="34" spans="1:15" ht="27" customHeight="1" outlineLevel="1">
      <c r="A34" s="88">
        <v>2024</v>
      </c>
      <c r="B34" s="67">
        <v>165000</v>
      </c>
      <c r="C34" s="19">
        <v>60000</v>
      </c>
      <c r="D34" s="11"/>
      <c r="E34" s="11"/>
      <c r="F34" s="11"/>
      <c r="G34" s="11"/>
      <c r="H34" s="11">
        <f t="shared" si="0"/>
        <v>60000</v>
      </c>
    </row>
    <row r="35" spans="1:15" ht="27" customHeight="1" outlineLevel="1">
      <c r="A35" s="88">
        <v>2025</v>
      </c>
      <c r="B35" s="67"/>
      <c r="C35" s="19">
        <v>120000</v>
      </c>
      <c r="D35" s="19">
        <v>64224</v>
      </c>
      <c r="E35" s="11"/>
      <c r="F35" s="11"/>
      <c r="G35" s="11"/>
      <c r="H35" s="11">
        <f t="shared" si="0"/>
        <v>184224</v>
      </c>
    </row>
    <row r="36" spans="1:15" ht="27" customHeight="1" outlineLevel="1">
      <c r="A36" s="88">
        <v>2026</v>
      </c>
      <c r="B36" s="67"/>
      <c r="C36" s="11"/>
      <c r="D36" s="11">
        <v>105000</v>
      </c>
      <c r="E36" s="77">
        <v>60000</v>
      </c>
      <c r="F36" s="11"/>
      <c r="G36" s="11"/>
      <c r="H36" s="11">
        <f t="shared" si="0"/>
        <v>165000</v>
      </c>
    </row>
    <row r="37" spans="1:15" ht="27" customHeight="1" outlineLevel="1">
      <c r="A37" s="88">
        <v>2027</v>
      </c>
      <c r="B37" s="67"/>
      <c r="C37" s="11"/>
      <c r="D37" s="11"/>
      <c r="E37" s="77">
        <v>105000</v>
      </c>
      <c r="F37" s="77">
        <v>60000</v>
      </c>
      <c r="G37" s="11"/>
      <c r="H37" s="11">
        <f t="shared" si="0"/>
        <v>165000</v>
      </c>
    </row>
    <row r="38" spans="1:15" ht="27" customHeight="1" outlineLevel="1">
      <c r="A38" s="88">
        <v>2028</v>
      </c>
      <c r="B38" s="67"/>
      <c r="C38" s="11"/>
      <c r="D38" s="11"/>
      <c r="E38" s="11"/>
      <c r="F38" s="77">
        <v>105000</v>
      </c>
      <c r="G38" s="77">
        <v>60000</v>
      </c>
      <c r="H38" s="11">
        <f t="shared" si="0"/>
        <v>165000</v>
      </c>
    </row>
    <row r="39" spans="1:15" ht="27" customHeight="1" outlineLevel="1">
      <c r="A39" s="88">
        <v>2029</v>
      </c>
      <c r="B39" s="67"/>
      <c r="C39" s="11"/>
      <c r="D39" s="11"/>
      <c r="E39" s="11"/>
      <c r="F39" s="11"/>
      <c r="G39" s="77">
        <v>105000</v>
      </c>
      <c r="H39" s="11">
        <f t="shared" si="0"/>
        <v>105000</v>
      </c>
    </row>
    <row r="40" spans="1:15" ht="41.1" customHeight="1">
      <c r="A40" s="89" t="s">
        <v>25</v>
      </c>
      <c r="B40" s="69">
        <f>B41+B42</f>
        <v>458052</v>
      </c>
      <c r="C40" s="99">
        <f>C41+C42</f>
        <v>1098790</v>
      </c>
      <c r="D40" s="99">
        <f>D42+D43</f>
        <v>175000</v>
      </c>
      <c r="E40" s="99">
        <f>E43+E44</f>
        <v>777821</v>
      </c>
      <c r="F40" s="99">
        <f>F44+F45</f>
        <v>777821</v>
      </c>
      <c r="G40" s="99">
        <f>G45+G46</f>
        <v>777821</v>
      </c>
      <c r="H40" s="90">
        <f t="shared" si="0"/>
        <v>3607253</v>
      </c>
      <c r="I40" s="38"/>
      <c r="J40" s="40"/>
    </row>
    <row r="41" spans="1:15" ht="27" customHeight="1" outlineLevel="1">
      <c r="A41" s="91">
        <v>2024</v>
      </c>
      <c r="B41" s="67">
        <v>458052</v>
      </c>
      <c r="C41" s="139">
        <v>468815</v>
      </c>
      <c r="D41" s="100"/>
      <c r="E41" s="100"/>
      <c r="F41" s="100"/>
      <c r="G41" s="100"/>
      <c r="H41" s="11">
        <f t="shared" si="0"/>
        <v>468815</v>
      </c>
    </row>
    <row r="42" spans="1:15" ht="15.6" outlineLevel="1">
      <c r="A42" s="91">
        <v>2025</v>
      </c>
      <c r="B42" s="92"/>
      <c r="C42" s="101">
        <v>629975</v>
      </c>
      <c r="D42" s="101"/>
      <c r="E42" s="100"/>
      <c r="F42" s="100"/>
      <c r="G42" s="100"/>
      <c r="H42" s="11">
        <f t="shared" si="0"/>
        <v>629975</v>
      </c>
      <c r="I42" s="37"/>
      <c r="J42" s="8"/>
    </row>
    <row r="43" spans="1:15" ht="27" customHeight="1" outlineLevel="1">
      <c r="A43" s="91">
        <v>2026</v>
      </c>
      <c r="B43" s="92"/>
      <c r="C43" s="100"/>
      <c r="D43" s="100">
        <v>175000</v>
      </c>
      <c r="E43" s="100">
        <v>602821</v>
      </c>
      <c r="F43" s="100"/>
      <c r="G43" s="100"/>
      <c r="H43" s="11">
        <f t="shared" si="0"/>
        <v>777821</v>
      </c>
    </row>
    <row r="44" spans="1:15" ht="27" customHeight="1" outlineLevel="1">
      <c r="A44" s="91">
        <v>2027</v>
      </c>
      <c r="B44" s="92"/>
      <c r="C44" s="100"/>
      <c r="D44" s="100"/>
      <c r="E44" s="100">
        <v>175000</v>
      </c>
      <c r="F44" s="100">
        <v>602821</v>
      </c>
      <c r="G44" s="100"/>
      <c r="H44" s="11">
        <f t="shared" si="0"/>
        <v>777821</v>
      </c>
    </row>
    <row r="45" spans="1:15" ht="24.9" customHeight="1" outlineLevel="1">
      <c r="A45" s="91">
        <v>2028</v>
      </c>
      <c r="B45" s="92"/>
      <c r="C45" s="100"/>
      <c r="D45" s="100"/>
      <c r="E45" s="100"/>
      <c r="F45" s="100">
        <v>175000</v>
      </c>
      <c r="G45" s="100">
        <v>602821</v>
      </c>
      <c r="H45" s="11">
        <f t="shared" si="0"/>
        <v>777821</v>
      </c>
    </row>
    <row r="46" spans="1:15" ht="26.1" customHeight="1" outlineLevel="1">
      <c r="A46" s="91">
        <v>2029</v>
      </c>
      <c r="B46" s="92"/>
      <c r="C46" s="100"/>
      <c r="D46" s="100"/>
      <c r="E46" s="100"/>
      <c r="F46" s="100"/>
      <c r="G46" s="100">
        <v>175000</v>
      </c>
      <c r="H46" s="11">
        <f t="shared" si="0"/>
        <v>175000</v>
      </c>
    </row>
    <row r="47" spans="1:15" ht="31.2">
      <c r="A47" s="21" t="s">
        <v>15</v>
      </c>
      <c r="B47" s="59"/>
      <c r="C47" s="102">
        <f>C48+C51+C59+C61+C52+C60</f>
        <v>1088662.1199999999</v>
      </c>
      <c r="D47" s="102">
        <f>D48+D51+D59+D61+D52</f>
        <v>1056884.3999999999</v>
      </c>
      <c r="E47" s="102">
        <f>E48+E51+E59+E61+E52</f>
        <v>1054175.3999999999</v>
      </c>
      <c r="F47" s="102">
        <f>F48+F51+F59+F61+F52</f>
        <v>1095790.6000000001</v>
      </c>
      <c r="G47" s="102">
        <f>G48+G51+G59+G61+G52</f>
        <v>1113158.8999999999</v>
      </c>
      <c r="H47" s="23">
        <f>H48+H51+H59+H61+H52</f>
        <v>5383671.4199999999</v>
      </c>
      <c r="I47" s="38"/>
      <c r="J47" s="39"/>
      <c r="K47" s="38"/>
      <c r="L47" s="38"/>
      <c r="M47" s="38"/>
      <c r="N47" s="38"/>
      <c r="O47" s="38"/>
    </row>
    <row r="48" spans="1:15" ht="27" customHeight="1">
      <c r="A48" s="78" t="s">
        <v>16</v>
      </c>
      <c r="B48" s="74">
        <v>577582</v>
      </c>
      <c r="C48" s="75">
        <f>C49+C50</f>
        <v>599951.4</v>
      </c>
      <c r="D48" s="75">
        <f t="shared" ref="D48:H48" si="3">D49+D50</f>
        <v>599951.4</v>
      </c>
      <c r="E48" s="75">
        <f t="shared" si="3"/>
        <v>599951.4</v>
      </c>
      <c r="F48" s="75">
        <f t="shared" si="3"/>
        <v>599951.4</v>
      </c>
      <c r="G48" s="75">
        <f t="shared" si="3"/>
        <v>599951.4</v>
      </c>
      <c r="H48" s="75">
        <f t="shared" si="3"/>
        <v>2999757</v>
      </c>
      <c r="I48" s="38"/>
      <c r="J48" s="40"/>
      <c r="K48" s="38"/>
      <c r="L48" s="38"/>
      <c r="M48" s="38"/>
      <c r="N48" s="38"/>
      <c r="O48" s="38"/>
    </row>
    <row r="49" spans="1:16" ht="27" customHeight="1">
      <c r="A49" s="78" t="s">
        <v>42</v>
      </c>
      <c r="B49" s="74"/>
      <c r="C49" s="75">
        <f>447388*1.05</f>
        <v>469757.4</v>
      </c>
      <c r="D49" s="75">
        <f t="shared" ref="D49:G49" si="4">447388*1.05</f>
        <v>469757.4</v>
      </c>
      <c r="E49" s="75">
        <f t="shared" si="4"/>
        <v>469757.4</v>
      </c>
      <c r="F49" s="75">
        <f t="shared" si="4"/>
        <v>469757.4</v>
      </c>
      <c r="G49" s="75">
        <f t="shared" si="4"/>
        <v>469757.4</v>
      </c>
      <c r="H49" s="75">
        <f>C49+D49+E49+F49+G49</f>
        <v>2348787</v>
      </c>
      <c r="I49" s="134"/>
      <c r="J49" s="40"/>
      <c r="K49" s="38"/>
      <c r="L49" s="38"/>
      <c r="M49" s="38"/>
      <c r="N49" s="38"/>
      <c r="O49" s="38"/>
    </row>
    <row r="50" spans="1:16" ht="27" customHeight="1">
      <c r="A50" s="78" t="s">
        <v>43</v>
      </c>
      <c r="B50" s="74"/>
      <c r="C50" s="75">
        <v>130194</v>
      </c>
      <c r="D50" s="75">
        <v>130194</v>
      </c>
      <c r="E50" s="75">
        <v>130194</v>
      </c>
      <c r="F50" s="75">
        <v>130194</v>
      </c>
      <c r="G50" s="75">
        <v>130194</v>
      </c>
      <c r="H50" s="75">
        <f>C50+D50+E50+F50+G50</f>
        <v>650970</v>
      </c>
      <c r="I50" s="38"/>
      <c r="J50" s="40"/>
      <c r="K50" s="38"/>
      <c r="L50" s="38"/>
      <c r="M50" s="38"/>
      <c r="N50" s="38"/>
      <c r="O50" s="38"/>
    </row>
    <row r="51" spans="1:16" ht="27" customHeight="1">
      <c r="A51" s="73" t="s">
        <v>17</v>
      </c>
      <c r="B51" s="74">
        <v>30000</v>
      </c>
      <c r="C51" s="75">
        <v>60000</v>
      </c>
      <c r="D51" s="75">
        <v>30000</v>
      </c>
      <c r="E51" s="75">
        <v>30000</v>
      </c>
      <c r="F51" s="75">
        <v>30000</v>
      </c>
      <c r="G51" s="75">
        <v>30000</v>
      </c>
      <c r="H51" s="75">
        <f t="shared" si="0"/>
        <v>180000</v>
      </c>
      <c r="I51" s="38"/>
      <c r="J51" s="38"/>
      <c r="K51" s="38"/>
      <c r="L51" s="38"/>
      <c r="M51" s="38"/>
      <c r="N51" s="38"/>
      <c r="O51" s="38"/>
    </row>
    <row r="52" spans="1:16" ht="42" customHeight="1">
      <c r="A52" s="93" t="s">
        <v>41</v>
      </c>
      <c r="B52" s="94">
        <v>22500</v>
      </c>
      <c r="C52" s="75">
        <v>29230.13</v>
      </c>
      <c r="D52" s="95">
        <v>49000</v>
      </c>
      <c r="E52" s="95">
        <v>49000</v>
      </c>
      <c r="F52" s="95">
        <v>49000</v>
      </c>
      <c r="G52" s="95">
        <v>49000</v>
      </c>
      <c r="H52" s="95">
        <f t="shared" si="0"/>
        <v>225230.13</v>
      </c>
      <c r="I52" s="54"/>
      <c r="J52" s="39"/>
      <c r="K52" s="38"/>
      <c r="L52" s="38"/>
      <c r="M52" s="38"/>
      <c r="N52" s="38"/>
      <c r="O52" s="38"/>
    </row>
    <row r="53" spans="1:16" ht="27" customHeight="1">
      <c r="A53" s="13" t="s">
        <v>7</v>
      </c>
      <c r="B53" s="52"/>
      <c r="C53" s="103">
        <f>C55+C56+C57+C58+C54</f>
        <v>951492.24</v>
      </c>
      <c r="D53" s="103">
        <f>D55+D56+D57+D58+D54</f>
        <v>1218583.03</v>
      </c>
      <c r="E53" s="103">
        <f t="shared" ref="E53:H53" si="5">E55+E56+E57+E58+E54</f>
        <v>914481.43</v>
      </c>
      <c r="F53" s="103">
        <f t="shared" si="5"/>
        <v>624421.46</v>
      </c>
      <c r="G53" s="103">
        <f t="shared" si="5"/>
        <v>144441.5</v>
      </c>
      <c r="H53" s="14">
        <f t="shared" si="5"/>
        <v>3853419.66</v>
      </c>
      <c r="I53" s="144" t="s">
        <v>10</v>
      </c>
      <c r="J53" s="38"/>
    </row>
    <row r="54" spans="1:16" ht="27" customHeight="1">
      <c r="A54" s="13" t="s">
        <v>18</v>
      </c>
      <c r="B54" s="52">
        <v>85000</v>
      </c>
      <c r="C54" s="16">
        <v>85000</v>
      </c>
      <c r="D54" s="16">
        <v>85000</v>
      </c>
      <c r="E54" s="16">
        <v>85000</v>
      </c>
      <c r="F54" s="16">
        <v>85000</v>
      </c>
      <c r="G54" s="16">
        <v>85000</v>
      </c>
      <c r="H54" s="15">
        <f t="shared" si="0"/>
        <v>425000</v>
      </c>
      <c r="I54" s="145"/>
      <c r="J54" s="38"/>
    </row>
    <row r="55" spans="1:16" ht="27" customHeight="1">
      <c r="A55" s="13" t="s">
        <v>19</v>
      </c>
      <c r="B55" s="52"/>
      <c r="C55" s="16">
        <v>343907.59</v>
      </c>
      <c r="D55" s="16">
        <v>533591.13</v>
      </c>
      <c r="E55" s="16">
        <v>195672.54</v>
      </c>
      <c r="F55" s="16">
        <v>35317.5</v>
      </c>
      <c r="G55" s="16">
        <v>0</v>
      </c>
      <c r="H55" s="15">
        <f t="shared" si="0"/>
        <v>1108488.76</v>
      </c>
      <c r="I55" s="145"/>
      <c r="J55" s="38"/>
      <c r="K55" s="7"/>
      <c r="L55" s="7"/>
      <c r="M55" s="7"/>
      <c r="N55" s="7"/>
    </row>
    <row r="56" spans="1:16" ht="27" customHeight="1">
      <c r="A56" s="13" t="s">
        <v>20</v>
      </c>
      <c r="B56" s="52">
        <v>267165</v>
      </c>
      <c r="C56" s="16">
        <v>384450.83</v>
      </c>
      <c r="D56" s="16">
        <v>456960.27</v>
      </c>
      <c r="E56" s="16">
        <v>500753.09</v>
      </c>
      <c r="F56" s="16">
        <v>383258.16</v>
      </c>
      <c r="G56" s="16">
        <v>0</v>
      </c>
      <c r="H56" s="15">
        <f t="shared" si="0"/>
        <v>1725422.35</v>
      </c>
      <c r="I56" s="145"/>
      <c r="J56" s="38"/>
    </row>
    <row r="57" spans="1:16" ht="27" customHeight="1">
      <c r="A57" s="13" t="s">
        <v>21</v>
      </c>
      <c r="B57" s="52"/>
      <c r="C57" s="16">
        <v>110133.82</v>
      </c>
      <c r="D57" s="16">
        <v>115031.63</v>
      </c>
      <c r="E57" s="16">
        <v>118598.8</v>
      </c>
      <c r="F57" s="16">
        <v>120845.8</v>
      </c>
      <c r="G57" s="16">
        <v>59441.5</v>
      </c>
      <c r="H57" s="15">
        <f t="shared" si="0"/>
        <v>524051.55</v>
      </c>
      <c r="I57" s="145"/>
      <c r="J57" s="38"/>
    </row>
    <row r="58" spans="1:16" ht="31.95" customHeight="1">
      <c r="A58" s="13" t="s">
        <v>22</v>
      </c>
      <c r="B58" s="52"/>
      <c r="C58" s="16">
        <v>28000</v>
      </c>
      <c r="D58" s="16">
        <v>28000</v>
      </c>
      <c r="E58" s="16">
        <v>14457</v>
      </c>
      <c r="F58" s="16">
        <v>0</v>
      </c>
      <c r="G58" s="16">
        <v>0</v>
      </c>
      <c r="H58" s="15">
        <f t="shared" si="0"/>
        <v>70457</v>
      </c>
      <c r="I58" s="146"/>
      <c r="J58" s="38"/>
      <c r="K58" s="8"/>
    </row>
    <row r="59" spans="1:16" ht="33" customHeight="1">
      <c r="A59" s="96" t="s">
        <v>112</v>
      </c>
      <c r="B59" s="97">
        <v>6000</v>
      </c>
      <c r="C59" s="23">
        <v>2147.59</v>
      </c>
      <c r="D59" s="23">
        <v>5600</v>
      </c>
      <c r="E59" s="23">
        <v>2891</v>
      </c>
      <c r="F59" s="23"/>
      <c r="G59" s="23"/>
      <c r="H59" s="23">
        <f t="shared" si="0"/>
        <v>10638.59</v>
      </c>
      <c r="J59" s="8"/>
      <c r="K59" s="6"/>
    </row>
    <row r="60" spans="1:16" ht="33" customHeight="1">
      <c r="A60" s="96" t="s">
        <v>111</v>
      </c>
      <c r="B60" s="97"/>
      <c r="C60" s="23">
        <v>25000</v>
      </c>
      <c r="D60" s="23"/>
      <c r="E60" s="23"/>
      <c r="F60" s="23"/>
      <c r="G60" s="23"/>
      <c r="H60" s="23"/>
      <c r="J60" s="8"/>
      <c r="K60" s="6"/>
    </row>
    <row r="61" spans="1:16" ht="27" customHeight="1">
      <c r="A61" s="78" t="s">
        <v>23</v>
      </c>
      <c r="B61" s="74">
        <v>398293</v>
      </c>
      <c r="C61" s="98">
        <f>C62+C63</f>
        <v>372333</v>
      </c>
      <c r="D61" s="98">
        <f t="shared" ref="D61:E61" si="6">D62+D63</f>
        <v>372333</v>
      </c>
      <c r="E61" s="98">
        <f t="shared" si="6"/>
        <v>372333</v>
      </c>
      <c r="F61" s="98">
        <f>347366*1.2</f>
        <v>416839.2</v>
      </c>
      <c r="G61" s="98">
        <f>347366*1.25</f>
        <v>434207.5</v>
      </c>
      <c r="H61" s="98">
        <f>SUM(C61:G61)</f>
        <v>1968045.7</v>
      </c>
      <c r="J61" s="39"/>
      <c r="K61" s="38"/>
      <c r="L61" s="38"/>
      <c r="M61" s="38"/>
      <c r="N61" s="38"/>
      <c r="O61" s="38"/>
      <c r="P61" s="38"/>
    </row>
    <row r="62" spans="1:16" ht="37.5" customHeight="1">
      <c r="A62" s="70" t="s">
        <v>26</v>
      </c>
      <c r="B62" s="52"/>
      <c r="C62" s="71">
        <f>294200+3967</f>
        <v>298167</v>
      </c>
      <c r="D62" s="71">
        <f>294200+3967</f>
        <v>298167</v>
      </c>
      <c r="E62" s="71">
        <f>294200+3967</f>
        <v>298167</v>
      </c>
      <c r="F62" s="71">
        <f>294200*1.1</f>
        <v>323620</v>
      </c>
      <c r="G62" s="71">
        <f>294200*1.1</f>
        <v>323620</v>
      </c>
      <c r="H62" s="71">
        <f>SUM(C62:G62)</f>
        <v>1541741</v>
      </c>
      <c r="I62" s="37" t="s">
        <v>98</v>
      </c>
      <c r="J62" s="40"/>
      <c r="K62" s="38"/>
      <c r="L62" s="38"/>
      <c r="M62" s="38"/>
      <c r="N62" s="38"/>
      <c r="O62" s="38"/>
      <c r="P62" s="38"/>
    </row>
    <row r="63" spans="1:16" ht="37.5" customHeight="1">
      <c r="A63" s="51" t="s">
        <v>46</v>
      </c>
      <c r="B63" s="52"/>
      <c r="C63" s="53">
        <f>53166+21000</f>
        <v>74166</v>
      </c>
      <c r="D63" s="53">
        <f t="shared" ref="D63:E63" si="7">53166+21000</f>
        <v>74166</v>
      </c>
      <c r="E63" s="53">
        <f t="shared" si="7"/>
        <v>74166</v>
      </c>
      <c r="F63" s="53">
        <f t="shared" ref="F63:H63" si="8">F61-F62</f>
        <v>93219.200000000012</v>
      </c>
      <c r="G63" s="53">
        <f t="shared" si="8"/>
        <v>110587.5</v>
      </c>
      <c r="H63" s="53">
        <f t="shared" si="8"/>
        <v>426304.69999999995</v>
      </c>
      <c r="I63" s="134" t="s">
        <v>99</v>
      </c>
      <c r="J63" s="40"/>
      <c r="K63" s="38"/>
      <c r="L63" s="38"/>
      <c r="M63" s="38"/>
      <c r="N63" s="38"/>
      <c r="O63" s="38"/>
      <c r="P63" s="38"/>
    </row>
    <row r="64" spans="1:16" ht="9" customHeight="1">
      <c r="A64" s="78"/>
      <c r="B64" s="74"/>
      <c r="C64" s="98"/>
      <c r="D64" s="98"/>
      <c r="E64" s="98"/>
      <c r="F64" s="98"/>
      <c r="G64" s="98"/>
      <c r="H64" s="98"/>
      <c r="I64" s="54" t="s">
        <v>45</v>
      </c>
      <c r="J64" s="40"/>
      <c r="K64" s="38"/>
      <c r="L64" s="38"/>
      <c r="M64" s="38"/>
      <c r="N64" s="38"/>
      <c r="O64" s="38"/>
      <c r="P64" s="38"/>
    </row>
    <row r="65" spans="1:10" ht="48.75" customHeight="1">
      <c r="A65" s="9" t="s">
        <v>116</v>
      </c>
      <c r="B65" s="58"/>
      <c r="C65" s="102">
        <f>C47+C32+C4</f>
        <v>3304131.75</v>
      </c>
      <c r="D65" s="102">
        <f>D47+D32+D4</f>
        <v>2078330.98</v>
      </c>
      <c r="E65" s="102">
        <f>E47+E32+E4</f>
        <v>2642596.4</v>
      </c>
      <c r="F65" s="102">
        <f>F47+F32+F4</f>
        <v>2702011.6</v>
      </c>
      <c r="G65" s="102">
        <f>G47+G32+G4</f>
        <v>2758979.9</v>
      </c>
      <c r="H65" s="11">
        <f t="shared" si="0"/>
        <v>13486050.630000001</v>
      </c>
      <c r="J65" s="140">
        <f>C65</f>
        <v>3304131.75</v>
      </c>
    </row>
    <row r="66" spans="1:10" ht="24.9" customHeight="1">
      <c r="A66" s="78" t="s">
        <v>24</v>
      </c>
      <c r="B66" s="74"/>
      <c r="C66" s="98">
        <v>6395</v>
      </c>
      <c r="D66" s="98">
        <v>6395</v>
      </c>
      <c r="E66" s="98">
        <v>6395</v>
      </c>
      <c r="F66" s="98">
        <v>6395</v>
      </c>
      <c r="G66" s="98">
        <v>6395</v>
      </c>
      <c r="H66" s="11">
        <f t="shared" si="0"/>
        <v>31975</v>
      </c>
    </row>
    <row r="67" spans="1:10" ht="15.6">
      <c r="A67" s="17"/>
      <c r="B67" s="60"/>
      <c r="C67" s="17"/>
      <c r="D67" s="17"/>
      <c r="E67" s="17"/>
      <c r="F67" s="17"/>
      <c r="G67" s="17"/>
      <c r="H67" s="17"/>
    </row>
    <row r="68" spans="1:10" ht="37.5" customHeight="1">
      <c r="A68" s="147" t="s">
        <v>47</v>
      </c>
      <c r="B68" s="147"/>
      <c r="C68" s="147"/>
      <c r="D68" s="42">
        <v>0.03</v>
      </c>
      <c r="E68" s="42">
        <v>0.02</v>
      </c>
      <c r="F68" s="17"/>
      <c r="G68" s="17"/>
      <c r="H68" s="17"/>
    </row>
    <row r="69" spans="1:10" ht="13.5" customHeight="1">
      <c r="A69" s="41"/>
      <c r="B69" s="61"/>
      <c r="C69" s="41"/>
      <c r="D69" s="18"/>
      <c r="E69" s="18"/>
      <c r="F69" s="17"/>
      <c r="G69" s="17"/>
      <c r="H69" s="17"/>
    </row>
    <row r="70" spans="1:10">
      <c r="A70" s="34" t="s">
        <v>36</v>
      </c>
      <c r="B70" s="62"/>
    </row>
    <row r="71" spans="1:10" ht="15.6">
      <c r="A71" s="25" t="s">
        <v>27</v>
      </c>
      <c r="B71" s="63"/>
      <c r="C71" s="26">
        <f>C4+C32+C48+C51+C52+C61</f>
        <v>3276984.1599999997</v>
      </c>
      <c r="D71" s="26">
        <f t="shared" ref="D71:H71" si="9">D4+D32+D48+D51+D52+D61</f>
        <v>2072730.98</v>
      </c>
      <c r="E71" s="26">
        <f t="shared" si="9"/>
        <v>2639705.4</v>
      </c>
      <c r="F71" s="26">
        <f t="shared" si="9"/>
        <v>2702011.6</v>
      </c>
      <c r="G71" s="26">
        <f t="shared" si="9"/>
        <v>2758979.9</v>
      </c>
      <c r="H71" s="26">
        <f t="shared" si="9"/>
        <v>13450412.040000001</v>
      </c>
    </row>
    <row r="72" spans="1:10" ht="15.6">
      <c r="A72" s="31" t="s">
        <v>44</v>
      </c>
      <c r="B72" s="64"/>
      <c r="C72" s="33">
        <f>C59+C60</f>
        <v>27147.59</v>
      </c>
      <c r="D72" s="33">
        <f t="shared" ref="D72:H72" si="10">D59</f>
        <v>5600</v>
      </c>
      <c r="E72" s="33">
        <f t="shared" si="10"/>
        <v>2891</v>
      </c>
      <c r="F72" s="33">
        <f t="shared" si="10"/>
        <v>0</v>
      </c>
      <c r="G72" s="33">
        <f t="shared" si="10"/>
        <v>0</v>
      </c>
      <c r="H72" s="33">
        <f t="shared" si="10"/>
        <v>10638.59</v>
      </c>
      <c r="I72" s="22"/>
      <c r="J72" s="32" t="s">
        <v>37</v>
      </c>
    </row>
    <row r="73" spans="1:10" ht="15.6">
      <c r="A73" s="25" t="s">
        <v>28</v>
      </c>
      <c r="B73" s="63"/>
      <c r="C73" s="26">
        <f>C66</f>
        <v>6395</v>
      </c>
      <c r="D73" s="26">
        <f t="shared" ref="D73:G73" si="11">D66</f>
        <v>6395</v>
      </c>
      <c r="E73" s="26">
        <f t="shared" si="11"/>
        <v>6395</v>
      </c>
      <c r="F73" s="26">
        <f t="shared" si="11"/>
        <v>6395</v>
      </c>
      <c r="G73" s="26">
        <f t="shared" si="11"/>
        <v>6395</v>
      </c>
      <c r="H73" s="26">
        <f>H66</f>
        <v>31975</v>
      </c>
    </row>
    <row r="74" spans="1:10" ht="15.6">
      <c r="A74" s="28" t="s">
        <v>29</v>
      </c>
      <c r="B74" s="65"/>
      <c r="C74" s="27">
        <f>SUM(C71:C73)</f>
        <v>3310526.7499999995</v>
      </c>
      <c r="D74" s="27">
        <f>SUM(D71:D73)</f>
        <v>2084725.98</v>
      </c>
      <c r="E74" s="27">
        <f t="shared" ref="E74:H74" si="12">SUM(E71:E73)</f>
        <v>2648991.4</v>
      </c>
      <c r="F74" s="27">
        <f t="shared" si="12"/>
        <v>2708406.6</v>
      </c>
      <c r="G74" s="27">
        <f t="shared" si="12"/>
        <v>2765374.9</v>
      </c>
      <c r="H74" s="27">
        <f t="shared" si="12"/>
        <v>13493025.630000001</v>
      </c>
    </row>
    <row r="75" spans="1:10" ht="15.6">
      <c r="A75" s="28" t="s">
        <v>30</v>
      </c>
      <c r="B75" s="65"/>
      <c r="C75" s="26">
        <f>C65-C74</f>
        <v>-6394.9999999995343</v>
      </c>
      <c r="D75" s="29">
        <f t="shared" ref="D75:H75" si="13">D65-D74</f>
        <v>-6395</v>
      </c>
      <c r="E75" s="29">
        <f t="shared" si="13"/>
        <v>-6395</v>
      </c>
      <c r="F75" s="29">
        <f t="shared" si="13"/>
        <v>-6395</v>
      </c>
      <c r="G75" s="29">
        <f t="shared" si="13"/>
        <v>-6395</v>
      </c>
      <c r="H75" s="29">
        <f t="shared" si="13"/>
        <v>-6975</v>
      </c>
    </row>
    <row r="77" spans="1:10" ht="15.6">
      <c r="A77" s="25" t="s">
        <v>31</v>
      </c>
      <c r="B77" s="63"/>
      <c r="C77" s="26">
        <f>1880144</f>
        <v>1880144</v>
      </c>
      <c r="D77" s="26">
        <f>1715561</f>
        <v>1715561</v>
      </c>
      <c r="E77" s="26">
        <f>1678266</f>
        <v>1678266</v>
      </c>
      <c r="F77" s="26">
        <f>1678266</f>
        <v>1678266</v>
      </c>
      <c r="G77" s="26">
        <f>1678266</f>
        <v>1678266</v>
      </c>
      <c r="H77" s="26">
        <f>SUM(C77:G77)</f>
        <v>8630503</v>
      </c>
    </row>
    <row r="78" spans="1:10" ht="15.6">
      <c r="A78" s="25" t="s">
        <v>32</v>
      </c>
      <c r="B78" s="63"/>
      <c r="C78" s="26">
        <v>770862</v>
      </c>
      <c r="D78" s="26">
        <v>797614</v>
      </c>
      <c r="E78" s="26">
        <v>780275</v>
      </c>
      <c r="F78" s="26">
        <v>780275</v>
      </c>
      <c r="G78" s="26">
        <v>780275</v>
      </c>
      <c r="H78" s="26">
        <f>SUM(C78:G78)</f>
        <v>3909301</v>
      </c>
    </row>
    <row r="79" spans="1:10" ht="15.6">
      <c r="A79" s="25" t="s">
        <v>33</v>
      </c>
      <c r="B79" s="63"/>
      <c r="C79" s="27">
        <f>C77+C78</f>
        <v>2651006</v>
      </c>
      <c r="D79" s="27">
        <f t="shared" ref="D79:G79" si="14">D77+D78</f>
        <v>2513175</v>
      </c>
      <c r="E79" s="27">
        <f t="shared" si="14"/>
        <v>2458541</v>
      </c>
      <c r="F79" s="27">
        <f t="shared" si="14"/>
        <v>2458541</v>
      </c>
      <c r="G79" s="27">
        <f t="shared" si="14"/>
        <v>2458541</v>
      </c>
      <c r="H79" s="27">
        <f>SUM(C79:G79)</f>
        <v>12539804</v>
      </c>
    </row>
    <row r="80" spans="1:10" ht="26.4">
      <c r="A80" s="25" t="s">
        <v>35</v>
      </c>
      <c r="B80" s="63"/>
      <c r="C80" s="20">
        <f>C79-C71</f>
        <v>-625978.15999999968</v>
      </c>
      <c r="D80" s="20">
        <f t="shared" ref="D80:G80" si="15">D79-D71</f>
        <v>440444.02</v>
      </c>
      <c r="E80" s="20">
        <f t="shared" si="15"/>
        <v>-181164.39999999991</v>
      </c>
      <c r="F80" s="20">
        <f t="shared" si="15"/>
        <v>-243470.60000000009</v>
      </c>
      <c r="G80" s="20">
        <f t="shared" si="15"/>
        <v>-300438.89999999991</v>
      </c>
      <c r="H80" s="30">
        <f>SUM(C80:G80)</f>
        <v>-910608.03999999957</v>
      </c>
      <c r="J80" s="24" t="s">
        <v>34</v>
      </c>
    </row>
    <row r="81" spans="1:10" ht="15.6">
      <c r="A81" s="35" t="s">
        <v>38</v>
      </c>
      <c r="B81" s="64"/>
      <c r="C81" s="33">
        <v>600000</v>
      </c>
      <c r="D81" s="22"/>
      <c r="E81" s="22"/>
      <c r="F81" s="22"/>
      <c r="G81" s="22"/>
      <c r="J81" s="32" t="s">
        <v>39</v>
      </c>
    </row>
    <row r="82" spans="1:10" ht="15.6">
      <c r="A82" s="36" t="s">
        <v>40</v>
      </c>
      <c r="B82" s="66"/>
      <c r="C82" s="33">
        <f>C80+C81</f>
        <v>-25978.159999999683</v>
      </c>
    </row>
  </sheetData>
  <mergeCells count="3">
    <mergeCell ref="C2:H2"/>
    <mergeCell ref="I53:I58"/>
    <mergeCell ref="A68:C68"/>
  </mergeCells>
  <pageMargins left="0.19685039370078741" right="0.19685039370078741" top="0.35433070866141736" bottom="0.74803149606299213" header="0.19685039370078741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B5B4-BA21-4B0A-8053-C07A59A7878F}">
  <dimension ref="A1:E31"/>
  <sheetViews>
    <sheetView tabSelected="1" workbookViewId="0">
      <selection activeCell="C40" sqref="C40"/>
    </sheetView>
  </sheetViews>
  <sheetFormatPr defaultColWidth="10" defaultRowHeight="13.8" outlineLevelRow="1"/>
  <cols>
    <col min="1" max="1" width="63" style="108" customWidth="1"/>
    <col min="2" max="4" width="18.77734375" style="107" customWidth="1"/>
    <col min="5" max="5" width="17.109375" style="107" bestFit="1" customWidth="1"/>
    <col min="6" max="16384" width="10" style="107"/>
  </cols>
  <sheetData>
    <row r="1" spans="1:5">
      <c r="A1" s="106" t="s">
        <v>81</v>
      </c>
    </row>
    <row r="2" spans="1:5" ht="14.4" thickBot="1"/>
    <row r="3" spans="1:5" ht="14.4" thickBot="1">
      <c r="B3" s="148" t="s">
        <v>82</v>
      </c>
      <c r="C3" s="149"/>
      <c r="D3" s="149"/>
      <c r="E3" s="150"/>
    </row>
    <row r="4" spans="1:5" ht="55.5" customHeight="1" thickBot="1">
      <c r="A4" s="109" t="s">
        <v>117</v>
      </c>
      <c r="B4" s="110">
        <v>2025</v>
      </c>
      <c r="C4" s="111">
        <v>2026</v>
      </c>
      <c r="D4" s="111">
        <v>2027</v>
      </c>
      <c r="E4" s="112" t="s">
        <v>29</v>
      </c>
    </row>
    <row r="5" spans="1:5">
      <c r="A5" s="113" t="s">
        <v>83</v>
      </c>
      <c r="B5" s="127">
        <f>'suur tabel'!C5+'suur tabel'!C9+'suur tabel'!C17+'suur tabel'!C24+'suur tabel'!C27+'suur tabel'!C22</f>
        <v>789000</v>
      </c>
      <c r="C5" s="127">
        <f>'suur tabel'!D17+'suur tabel'!D27</f>
        <v>66000</v>
      </c>
      <c r="D5" s="127">
        <f>'suur tabel'!E9</f>
        <v>75000</v>
      </c>
      <c r="E5" s="114">
        <f>B5+C5+D5</f>
        <v>930000</v>
      </c>
    </row>
    <row r="6" spans="1:5" ht="21.75" customHeight="1">
      <c r="A6" s="115" t="s">
        <v>84</v>
      </c>
      <c r="B6" s="128">
        <f>'suur tabel'!C7+'suur tabel'!C8+'suur tabel'!C15+'suur tabel'!C16+'suur tabel'!C26</f>
        <v>147679.63</v>
      </c>
      <c r="C6" s="128">
        <f>'suur tabel'!D8+'suur tabel'!D16</f>
        <v>59822.58</v>
      </c>
      <c r="D6" s="116"/>
      <c r="E6" s="116">
        <f t="shared" ref="E6:E20" si="0">B6+C6+D6</f>
        <v>207502.21000000002</v>
      </c>
    </row>
    <row r="7" spans="1:5" ht="41.4" hidden="1" outlineLevel="1">
      <c r="A7" s="118" t="s">
        <v>85</v>
      </c>
      <c r="B7" s="117"/>
      <c r="C7" s="117"/>
      <c r="D7" s="117"/>
      <c r="E7" s="117">
        <f t="shared" si="0"/>
        <v>0</v>
      </c>
    </row>
    <row r="8" spans="1:5" ht="124.2" hidden="1" outlineLevel="1">
      <c r="A8" s="118" t="s">
        <v>86</v>
      </c>
      <c r="B8" s="117"/>
      <c r="C8" s="117"/>
      <c r="D8" s="117"/>
      <c r="E8" s="117">
        <f t="shared" si="0"/>
        <v>0</v>
      </c>
    </row>
    <row r="9" spans="1:5" collapsed="1">
      <c r="A9" s="119" t="s">
        <v>87</v>
      </c>
      <c r="B9" s="129">
        <f>'suur tabel'!C35+'suur tabel'!C42</f>
        <v>749975</v>
      </c>
      <c r="C9" s="129">
        <f>'suur tabel'!D35</f>
        <v>64224</v>
      </c>
      <c r="D9" s="117"/>
      <c r="E9" s="117">
        <f t="shared" si="0"/>
        <v>814199</v>
      </c>
    </row>
    <row r="10" spans="1:5">
      <c r="A10" s="120" t="s">
        <v>88</v>
      </c>
      <c r="B10" s="128">
        <f>'suur tabel'!C34+'suur tabel'!C41</f>
        <v>528815</v>
      </c>
      <c r="C10" s="116"/>
      <c r="D10" s="116"/>
      <c r="E10" s="116">
        <f t="shared" si="0"/>
        <v>528815</v>
      </c>
    </row>
    <row r="11" spans="1:5" ht="69" hidden="1" outlineLevel="1">
      <c r="A11" s="118" t="s">
        <v>89</v>
      </c>
      <c r="B11" s="117"/>
      <c r="C11" s="117"/>
      <c r="D11" s="117"/>
      <c r="E11" s="117">
        <f t="shared" si="0"/>
        <v>0</v>
      </c>
    </row>
    <row r="12" spans="1:5" ht="82.8" hidden="1" outlineLevel="1">
      <c r="A12" s="118" t="s">
        <v>90</v>
      </c>
      <c r="B12" s="117"/>
      <c r="C12" s="117"/>
      <c r="D12" s="117"/>
      <c r="E12" s="117">
        <f t="shared" si="0"/>
        <v>0</v>
      </c>
    </row>
    <row r="13" spans="1:5" collapsed="1">
      <c r="A13" s="119" t="s">
        <v>91</v>
      </c>
      <c r="B13" s="129">
        <f>'suur tabel'!C48+'suur tabel'!C51+'suur tabel'!C52+'suur tabel'!C59+'suur tabel'!C60</f>
        <v>716329.12</v>
      </c>
      <c r="C13" s="117"/>
      <c r="D13" s="117"/>
      <c r="E13" s="117">
        <f t="shared" si="0"/>
        <v>716329.12</v>
      </c>
    </row>
    <row r="14" spans="1:5">
      <c r="A14" s="120" t="s">
        <v>92</v>
      </c>
      <c r="B14" s="116"/>
      <c r="C14" s="116"/>
      <c r="D14" s="116"/>
      <c r="E14" s="116">
        <f t="shared" si="0"/>
        <v>0</v>
      </c>
    </row>
    <row r="15" spans="1:5" ht="82.8" hidden="1" outlineLevel="1">
      <c r="A15" s="118" t="s">
        <v>93</v>
      </c>
      <c r="B15" s="117"/>
      <c r="C15" s="117"/>
      <c r="D15" s="117"/>
      <c r="E15" s="117">
        <f t="shared" si="0"/>
        <v>0</v>
      </c>
    </row>
    <row r="16" spans="1:5" ht="69" hidden="1" outlineLevel="1">
      <c r="A16" s="118" t="s">
        <v>94</v>
      </c>
      <c r="B16" s="117"/>
      <c r="C16" s="117"/>
      <c r="D16" s="117"/>
      <c r="E16" s="117">
        <f t="shared" si="0"/>
        <v>0</v>
      </c>
    </row>
    <row r="17" spans="1:5" collapsed="1">
      <c r="A17" s="119" t="s">
        <v>23</v>
      </c>
      <c r="B17" s="129">
        <f>'suur tabel'!C61</f>
        <v>372333</v>
      </c>
      <c r="C17" s="117"/>
      <c r="D17" s="117"/>
      <c r="E17" s="117">
        <f t="shared" si="0"/>
        <v>372333</v>
      </c>
    </row>
    <row r="18" spans="1:5" ht="14.25" hidden="1" customHeight="1" outlineLevel="1">
      <c r="A18" s="121" t="s">
        <v>95</v>
      </c>
      <c r="B18" s="117"/>
      <c r="C18" s="117"/>
      <c r="D18" s="117"/>
      <c r="E18" s="117">
        <f t="shared" si="0"/>
        <v>0</v>
      </c>
    </row>
    <row r="19" spans="1:5" ht="12.75" hidden="1" customHeight="1" outlineLevel="1">
      <c r="A19" s="121" t="s">
        <v>96</v>
      </c>
      <c r="B19" s="117"/>
      <c r="C19" s="117"/>
      <c r="D19" s="117"/>
      <c r="E19" s="117">
        <f t="shared" si="0"/>
        <v>0</v>
      </c>
    </row>
    <row r="20" spans="1:5" collapsed="1">
      <c r="A20" s="122" t="s">
        <v>97</v>
      </c>
      <c r="B20" s="131">
        <f>SUM(B5:B19)</f>
        <v>3304131.75</v>
      </c>
      <c r="C20" s="123">
        <f>SUM(C5:C19)</f>
        <v>190046.58000000002</v>
      </c>
      <c r="D20" s="123">
        <f>SUM(D5:D19)</f>
        <v>75000</v>
      </c>
      <c r="E20" s="117">
        <f t="shared" si="0"/>
        <v>3569178.33</v>
      </c>
    </row>
    <row r="21" spans="1:5" ht="9" customHeight="1">
      <c r="A21" s="132"/>
      <c r="B21" s="130"/>
    </row>
    <row r="22" spans="1:5">
      <c r="A22" s="107" t="s">
        <v>100</v>
      </c>
      <c r="B22" s="130">
        <f>B20+B21</f>
        <v>3304131.75</v>
      </c>
    </row>
    <row r="23" spans="1:5" s="124" customFormat="1" ht="18" customHeight="1">
      <c r="A23" s="124" t="s">
        <v>113</v>
      </c>
      <c r="B23" s="124">
        <v>1057302.3500000001</v>
      </c>
    </row>
    <row r="24" spans="1:5" s="124" customFormat="1" ht="8.25" customHeight="1"/>
    <row r="25" spans="1:5" s="124" customFormat="1">
      <c r="A25" s="124" t="s">
        <v>109</v>
      </c>
      <c r="B25" s="138">
        <f>B6+B10+B14</f>
        <v>676494.63</v>
      </c>
      <c r="C25" s="135"/>
      <c r="D25" s="125"/>
      <c r="E25" s="126"/>
    </row>
    <row r="26" spans="1:5">
      <c r="A26" s="107" t="s">
        <v>115</v>
      </c>
      <c r="B26" s="133">
        <f>B5+B9+B13+B17</f>
        <v>2627637.12</v>
      </c>
      <c r="C26" s="125"/>
      <c r="D26" s="125"/>
      <c r="E26" s="136"/>
    </row>
    <row r="27" spans="1:5">
      <c r="A27" s="132" t="s">
        <v>114</v>
      </c>
      <c r="B27" s="107">
        <v>6395</v>
      </c>
      <c r="C27" s="125"/>
      <c r="D27" s="125"/>
      <c r="E27" s="126"/>
    </row>
    <row r="28" spans="1:5">
      <c r="A28" s="107"/>
      <c r="B28" s="130">
        <f>SUM(B26:B27)</f>
        <v>2634032.12</v>
      </c>
      <c r="C28" s="125"/>
      <c r="D28" s="125"/>
      <c r="E28" s="126"/>
    </row>
    <row r="29" spans="1:5">
      <c r="A29" s="107"/>
    </row>
    <row r="30" spans="1:5" s="125" customFormat="1">
      <c r="A30" s="107"/>
    </row>
    <row r="31" spans="1:5" s="125" customFormat="1">
      <c r="A31" s="107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E1B1-E083-49D3-9806-7C4DAD75B77C}">
  <sheetPr>
    <tabColor rgb="FFFFFF00"/>
  </sheetPr>
  <dimension ref="A1:R32"/>
  <sheetViews>
    <sheetView workbookViewId="0">
      <selection activeCell="D4" sqref="D4"/>
    </sheetView>
  </sheetViews>
  <sheetFormatPr defaultRowHeight="13.2"/>
  <cols>
    <col min="2" max="2" width="51.33203125" bestFit="1" customWidth="1"/>
    <col min="4" max="4" width="13.33203125" customWidth="1"/>
    <col min="5" max="5" width="79" customWidth="1"/>
  </cols>
  <sheetData>
    <row r="1" spans="1:18" ht="13.8">
      <c r="A1" s="46"/>
      <c r="B1" s="46" t="s">
        <v>77</v>
      </c>
      <c r="C1" s="46"/>
      <c r="D1" s="46"/>
    </row>
    <row r="2" spans="1:18" ht="13.8">
      <c r="A2" s="46"/>
      <c r="B2" s="46"/>
      <c r="C2" s="46"/>
      <c r="D2" s="46" t="s">
        <v>105</v>
      </c>
    </row>
    <row r="3" spans="1:18" ht="13.8">
      <c r="A3" s="47"/>
      <c r="B3" s="48" t="s">
        <v>72</v>
      </c>
      <c r="C3" s="47">
        <v>294200</v>
      </c>
      <c r="D3" s="47"/>
      <c r="E3" s="8" t="s">
        <v>71</v>
      </c>
    </row>
    <row r="4" spans="1:18" ht="13.8">
      <c r="A4" s="47"/>
      <c r="B4" s="48" t="s">
        <v>102</v>
      </c>
      <c r="C4" s="47"/>
      <c r="D4" s="47">
        <v>3967</v>
      </c>
      <c r="E4" s="8" t="s">
        <v>101</v>
      </c>
    </row>
    <row r="5" spans="1:18" ht="13.8">
      <c r="A5" s="47"/>
      <c r="B5" s="48" t="s">
        <v>56</v>
      </c>
      <c r="C5" s="47">
        <v>3700</v>
      </c>
      <c r="D5" s="47"/>
    </row>
    <row r="6" spans="1:18" ht="66">
      <c r="A6" s="49" t="s">
        <v>58</v>
      </c>
      <c r="B6" s="48" t="s">
        <v>73</v>
      </c>
      <c r="C6" s="50">
        <v>12266</v>
      </c>
      <c r="D6" s="50">
        <v>10000</v>
      </c>
      <c r="E6" s="43" t="s">
        <v>106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3.8">
      <c r="A7" s="49" t="s">
        <v>59</v>
      </c>
      <c r="B7" s="48" t="s">
        <v>57</v>
      </c>
      <c r="C7" s="47">
        <v>1400</v>
      </c>
      <c r="D7" s="47"/>
      <c r="E7" s="8" t="s">
        <v>74</v>
      </c>
    </row>
    <row r="8" spans="1:18" ht="13.8">
      <c r="A8" s="49" t="s">
        <v>60</v>
      </c>
      <c r="B8" s="48" t="s">
        <v>48</v>
      </c>
      <c r="C8" s="47">
        <v>5000</v>
      </c>
      <c r="D8" s="47">
        <v>2000</v>
      </c>
      <c r="E8" s="137" t="s">
        <v>107</v>
      </c>
    </row>
    <row r="9" spans="1:18" ht="13.8">
      <c r="A9" s="49" t="s">
        <v>61</v>
      </c>
      <c r="B9" s="48" t="s">
        <v>49</v>
      </c>
      <c r="C9" s="47">
        <v>9900</v>
      </c>
      <c r="D9" s="47"/>
      <c r="E9" s="8" t="s">
        <v>70</v>
      </c>
    </row>
    <row r="10" spans="1:18" ht="13.8">
      <c r="A10" s="49" t="s">
        <v>62</v>
      </c>
      <c r="B10" s="48" t="s">
        <v>50</v>
      </c>
      <c r="C10" s="47">
        <v>9500</v>
      </c>
      <c r="D10" s="47"/>
      <c r="E10" s="8" t="s">
        <v>75</v>
      </c>
    </row>
    <row r="11" spans="1:18" ht="13.8">
      <c r="A11" s="49" t="s">
        <v>63</v>
      </c>
      <c r="B11" s="48" t="s">
        <v>51</v>
      </c>
      <c r="C11" s="47">
        <f>5500</f>
        <v>5500</v>
      </c>
      <c r="D11" s="47">
        <v>3000</v>
      </c>
      <c r="E11" s="8" t="s">
        <v>103</v>
      </c>
    </row>
    <row r="12" spans="1:18" ht="13.8">
      <c r="A12" s="49" t="s">
        <v>64</v>
      </c>
      <c r="B12" s="48" t="s">
        <v>52</v>
      </c>
      <c r="C12" s="47">
        <v>200</v>
      </c>
      <c r="D12" s="47"/>
    </row>
    <row r="13" spans="1:18" ht="13.8">
      <c r="A13" s="49" t="s">
        <v>65</v>
      </c>
      <c r="B13" s="48" t="s">
        <v>53</v>
      </c>
      <c r="C13" s="47">
        <v>2500</v>
      </c>
      <c r="D13" s="47"/>
      <c r="E13" s="8" t="s">
        <v>68</v>
      </c>
    </row>
    <row r="14" spans="1:18" ht="13.8">
      <c r="A14" s="49" t="s">
        <v>66</v>
      </c>
      <c r="B14" s="48" t="s">
        <v>54</v>
      </c>
      <c r="C14" s="47"/>
      <c r="D14" s="47">
        <v>6000</v>
      </c>
      <c r="E14" s="8" t="s">
        <v>108</v>
      </c>
    </row>
    <row r="15" spans="1:18" ht="13.8">
      <c r="A15" s="49" t="s">
        <v>67</v>
      </c>
      <c r="B15" s="48" t="s">
        <v>55</v>
      </c>
      <c r="C15" s="47">
        <v>3200</v>
      </c>
      <c r="D15" s="47"/>
      <c r="E15" s="8" t="s">
        <v>69</v>
      </c>
    </row>
    <row r="16" spans="1:18" ht="18.75" customHeight="1">
      <c r="A16" s="46"/>
      <c r="B16" s="46"/>
      <c r="C16" s="46">
        <f>SUM(C5:C15)</f>
        <v>53166</v>
      </c>
      <c r="D16" s="46">
        <f>SUM(D5:D15)</f>
        <v>21000</v>
      </c>
      <c r="E16" s="8" t="s">
        <v>78</v>
      </c>
    </row>
    <row r="17" spans="1:5" ht="18" customHeight="1">
      <c r="A17" s="46"/>
      <c r="B17" s="46"/>
      <c r="C17" s="46">
        <v>6395</v>
      </c>
      <c r="D17" s="46"/>
      <c r="E17" s="8" t="s">
        <v>24</v>
      </c>
    </row>
    <row r="18" spans="1:5" ht="18.75" customHeight="1">
      <c r="C18" s="44">
        <f>C3+C16</f>
        <v>347366</v>
      </c>
      <c r="D18" s="44">
        <f>D4+D16</f>
        <v>24967</v>
      </c>
      <c r="E18" s="45" t="s">
        <v>76</v>
      </c>
    </row>
    <row r="32" spans="1:5">
      <c r="E32" t="s">
        <v>104</v>
      </c>
    </row>
  </sheetData>
  <pageMargins left="0.2" right="0.28000000000000003" top="0.75" bottom="0.5600000000000000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4A35BE5CA0F42910A4EFEA253D3AE" ma:contentTypeVersion="13" ma:contentTypeDescription="Loo uus dokument" ma:contentTypeScope="" ma:versionID="5cc9291a2296413c6267e0796424ef00">
  <xsd:schema xmlns:xsd="http://www.w3.org/2001/XMLSchema" xmlns:xs="http://www.w3.org/2001/XMLSchema" xmlns:p="http://schemas.microsoft.com/office/2006/metadata/properties" xmlns:ns2="e7fb249a-b9b4-4437-8ec1-b4dea089e6b0" xmlns:ns3="194d161e-9feb-48d7-86ed-d7bb9ad5178d" targetNamespace="http://schemas.microsoft.com/office/2006/metadata/properties" ma:root="true" ma:fieldsID="8c66fe2d727f4ddc8167fa78ae4c8af1" ns2:_="" ns3:_="">
    <xsd:import namespace="e7fb249a-b9b4-4437-8ec1-b4dea089e6b0"/>
    <xsd:import namespace="194d161e-9feb-48d7-86ed-d7bb9ad517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b249a-b9b4-4437-8ec1-b4dea089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4d36484f-8c2f-4416-860f-d7d6b59010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161e-9feb-48d7-86ed-d7bb9ad517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0dc44fb-4c81-4059-9cc5-499d6564fc98}" ma:internalName="TaxCatchAll" ma:showField="CatchAllData" ma:web="194d161e-9feb-48d7-86ed-d7bb9ad517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fb249a-b9b4-4437-8ec1-b4dea089e6b0">
      <Terms xmlns="http://schemas.microsoft.com/office/infopath/2007/PartnerControls"/>
    </lcf76f155ced4ddcb4097134ff3c332f>
    <TaxCatchAll xmlns="194d161e-9feb-48d7-86ed-d7bb9ad5178d" xsi:nil="true"/>
  </documentManagement>
</p:properties>
</file>

<file path=customXml/itemProps1.xml><?xml version="1.0" encoding="utf-8"?>
<ds:datastoreItem xmlns:ds="http://schemas.openxmlformats.org/officeDocument/2006/customXml" ds:itemID="{451384B6-A09C-4593-9DB8-8E77C7A97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b249a-b9b4-4437-8ec1-b4dea089e6b0"/>
    <ds:schemaRef ds:uri="194d161e-9feb-48d7-86ed-d7bb9ad517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62EED-83A1-4DB7-8C90-C8CCB0835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3BB8B-B434-4449-B7D1-2AF994DB205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94d161e-9feb-48d7-86ed-d7bb9ad5178d"/>
    <ds:schemaRef ds:uri="http://schemas.microsoft.com/office/infopath/2007/PartnerControls"/>
    <ds:schemaRef ds:uri="http://purl.org/dc/elements/1.1/"/>
    <ds:schemaRef ds:uri="http://www.w3.org/XML/1998/namespace"/>
    <ds:schemaRef ds:uri="e7fb249a-b9b4-4437-8ec1-b4dea089e6b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suur tabel</vt:lpstr>
      <vt:lpstr>2025-2027</vt:lpstr>
      <vt:lpstr>halduskulud detailid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Online2PDF.com</dc:creator>
  <cp:keywords/>
  <dc:description/>
  <cp:lastModifiedBy>Martin Tulit</cp:lastModifiedBy>
  <cp:revision/>
  <cp:lastPrinted>2025-02-18T11:07:42Z</cp:lastPrinted>
  <dcterms:created xsi:type="dcterms:W3CDTF">2024-12-01T19:09:27Z</dcterms:created>
  <dcterms:modified xsi:type="dcterms:W3CDTF">2025-03-28T08:44:48Z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0x0101000214A35BE5CA0F42910A4EFEA253D3AE</vt:lpwstr>
  </property>
  <property fmtid="{D5CDD505-2E9C-101B-9397-08002B2CF9AE}" pid="3" name="MediaServiceImageTags">
    <vt:lpwstr/>
  </property>
</Properties>
</file>